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200" windowHeight="7230" tabRatio="500"/>
  </bookViews>
  <sheets>
    <sheet name="ORÇAMENTARIA GERAL" sheetId="1" r:id="rId1"/>
    <sheet name="COMPOSIÇÃO POR MURO" sheetId="4" r:id="rId2"/>
    <sheet name="COMPOSIÇÃO POR ITEM" sheetId="6" r:id="rId3"/>
    <sheet name="COMPOSIÇÃO BDI-EDF" sheetId="7" r:id="rId4"/>
    <sheet name="CRONOGRAMA" sheetId="8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2">'COMPOSIÇÃO POR ITEM'!$A$1:$K$16</definedName>
    <definedName name="_xlnm.Print_Area" localSheetId="1">'COMPOSIÇÃO POR MURO'!$A$1:$I$60</definedName>
    <definedName name="_xlnm.Print_Area" localSheetId="4">CRONOGRAMA!$B$2:$Q$15</definedName>
    <definedName name="_xlnm.Print_Area" localSheetId="0">'ORÇAMENTARIA GERAL'!$A$1:$H$38</definedName>
    <definedName name="Aut_original">[1]PROJETO!$A$1</definedName>
    <definedName name="Aut_resumo">[2]RESUMO_AUT1!$A$1</definedName>
    <definedName name="BDI" localSheetId="2">[3]qorcamentodnerL1!#REF!</definedName>
    <definedName name="BDI" localSheetId="1">[3]qorcamentodnerL1!#REF!</definedName>
    <definedName name="BDI">[3]qorcamentodnerL1!#REF!</definedName>
    <definedName name="CONS" localSheetId="2">#REF!</definedName>
    <definedName name="CONS" localSheetId="1">#REF!</definedName>
    <definedName name="CONS">#REF!</definedName>
    <definedName name="CONSUMO">[4]QuQuant!$A$1</definedName>
    <definedName name="Descricao" localSheetId="2">#REF!</definedName>
    <definedName name="Descricao" localSheetId="1">#REF!</definedName>
    <definedName name="Descricao">#REF!</definedName>
    <definedName name="DIMPAV" localSheetId="2">#REF!</definedName>
    <definedName name="DIMPAV" localSheetId="1">#REF!</definedName>
    <definedName name="DIMPAV">#REF!</definedName>
    <definedName name="Excel_BuiltIn__FilterDatabase" localSheetId="0">'ORÇAMENTARIA GERAL'!$A$11:$I$26</definedName>
    <definedName name="Excel_BuiltIn_Database" localSheetId="2">#REF!</definedName>
    <definedName name="Excel_BuiltIn_Database" localSheetId="1">#REF!</definedName>
    <definedName name="Excel_BuiltIn_Database">#REF!</definedName>
    <definedName name="ISS">'[5]MODELO PLANILHA E BDI ATUALIZAD'!$A$21:$B$30</definedName>
    <definedName name="k" localSheetId="2">#REF!</definedName>
    <definedName name="k" localSheetId="1">#REF!</definedName>
    <definedName name="k">#REF!</definedName>
    <definedName name="Meu" localSheetId="2">#REF!</definedName>
    <definedName name="Meu" localSheetId="1">#REF!</definedName>
    <definedName name="Meu">#REF!</definedName>
    <definedName name="Print">#N/A</definedName>
    <definedName name="Print_Area_MI">[6]qorcamentodnerL1!$E$5</definedName>
    <definedName name="_xlnm.Print_Titles" localSheetId="0">('ORÇAMENTARIA GERAL'!$A:$H,'ORÇAMENTARIA GERAL'!$1:$11)</definedName>
    <definedName name="UniformeMensageiro" localSheetId="2">#REF!</definedName>
    <definedName name="UniformeMensageiro" localSheetId="1">#REF!</definedName>
    <definedName name="UniformeMensageiro">#REF!</definedName>
    <definedName name="UniformeMensageiros" localSheetId="2">#REF!</definedName>
    <definedName name="UniformeMensageiros" localSheetId="1">#REF!</definedName>
    <definedName name="UniformeMensageiros">#REF!</definedName>
    <definedName name="UniformeRecepcionista" localSheetId="2">#REF!</definedName>
    <definedName name="UniformeRecepcionista" localSheetId="1">#REF!</definedName>
    <definedName name="UniformeRecepcionista">#REF!</definedName>
  </definedNames>
  <calcPr calcId="125725"/>
</workbook>
</file>

<file path=xl/calcChain.xml><?xml version="1.0" encoding="utf-8"?>
<calcChain xmlns="http://schemas.openxmlformats.org/spreadsheetml/2006/main">
  <c r="E8" i="8"/>
  <c r="I4" i="6"/>
  <c r="I3"/>
  <c r="G3" i="4"/>
  <c r="I14"/>
  <c r="I29"/>
  <c r="I44"/>
  <c r="I59"/>
  <c r="H40"/>
  <c r="H55"/>
  <c r="H43"/>
  <c r="H42"/>
  <c r="H41"/>
  <c r="H39"/>
  <c r="H38"/>
  <c r="H37"/>
  <c r="H36"/>
  <c r="H35"/>
  <c r="H34"/>
  <c r="H28"/>
  <c r="H27"/>
  <c r="H26"/>
  <c r="H25"/>
  <c r="H24"/>
  <c r="H23"/>
  <c r="H22"/>
  <c r="H21"/>
  <c r="H20"/>
  <c r="H19"/>
  <c r="G49"/>
  <c r="G34"/>
  <c r="G19"/>
  <c r="G4"/>
  <c r="G53"/>
  <c r="G51"/>
  <c r="G50"/>
  <c r="G48"/>
  <c r="G38"/>
  <c r="G36"/>
  <c r="G35"/>
  <c r="G33"/>
  <c r="G23"/>
  <c r="G21"/>
  <c r="G20"/>
  <c r="G18"/>
  <c r="F3" i="6" s="1"/>
  <c r="G8" i="4"/>
  <c r="G6"/>
  <c r="F7" i="6" s="1"/>
  <c r="J7" s="1"/>
  <c r="K7" s="1"/>
  <c r="G5" i="4"/>
  <c r="F58"/>
  <c r="G58" s="1"/>
  <c r="F57"/>
  <c r="G57" s="1"/>
  <c r="F56"/>
  <c r="G56" s="1"/>
  <c r="F55"/>
  <c r="G55" s="1"/>
  <c r="F54"/>
  <c r="G54" s="1"/>
  <c r="F52"/>
  <c r="G52" s="1"/>
  <c r="F43"/>
  <c r="G43" s="1"/>
  <c r="F42"/>
  <c r="F41"/>
  <c r="F40"/>
  <c r="F39"/>
  <c r="G39" s="1"/>
  <c r="F37"/>
  <c r="G37" s="1"/>
  <c r="F28"/>
  <c r="G28" s="1"/>
  <c r="F27"/>
  <c r="F26"/>
  <c r="G26" s="1"/>
  <c r="F25"/>
  <c r="G25" s="1"/>
  <c r="F24"/>
  <c r="F22"/>
  <c r="G22" s="1"/>
  <c r="I6" i="6"/>
  <c r="I7"/>
  <c r="I8"/>
  <c r="I9"/>
  <c r="I10"/>
  <c r="I11"/>
  <c r="I12"/>
  <c r="I13"/>
  <c r="I14"/>
  <c r="I5"/>
  <c r="G40" i="4"/>
  <c r="G41"/>
  <c r="G42"/>
  <c r="G24"/>
  <c r="G27"/>
  <c r="F4" i="6"/>
  <c r="G13" i="4"/>
  <c r="G12"/>
  <c r="G11"/>
  <c r="G10"/>
  <c r="G9"/>
  <c r="G7"/>
  <c r="I27"/>
  <c r="E16" i="6"/>
  <c r="H7" s="1"/>
  <c r="F13" i="4"/>
  <c r="I12"/>
  <c r="G15" i="1"/>
  <c r="G16"/>
  <c r="G17"/>
  <c r="G18"/>
  <c r="G19"/>
  <c r="G20"/>
  <c r="G21"/>
  <c r="G22"/>
  <c r="G23"/>
  <c r="G24"/>
  <c r="G25"/>
  <c r="G14"/>
  <c r="F51" i="4"/>
  <c r="F50"/>
  <c r="F36"/>
  <c r="F35"/>
  <c r="F21"/>
  <c r="F20"/>
  <c r="F9"/>
  <c r="F6"/>
  <c r="F5"/>
  <c r="J3" i="6" l="1"/>
  <c r="E14" i="1" s="1"/>
  <c r="H14" s="1"/>
  <c r="J4" i="6"/>
  <c r="E15" i="1" s="1"/>
  <c r="F5" i="6"/>
  <c r="J5" s="1"/>
  <c r="E16" i="1" s="1"/>
  <c r="E18"/>
  <c r="F6" i="6"/>
  <c r="J6" s="1"/>
  <c r="E17" i="1" s="1"/>
  <c r="F13" i="6"/>
  <c r="J13" s="1"/>
  <c r="E24" i="1" s="1"/>
  <c r="F14" i="6"/>
  <c r="J14" s="1"/>
  <c r="E25" i="1" s="1"/>
  <c r="F12" i="6"/>
  <c r="J12" s="1"/>
  <c r="E23" i="1" s="1"/>
  <c r="F11" i="6"/>
  <c r="J11" s="1"/>
  <c r="E22" i="1" s="1"/>
  <c r="F10" i="6"/>
  <c r="J10" s="1"/>
  <c r="E21" i="1" s="1"/>
  <c r="F8" i="6"/>
  <c r="J8" s="1"/>
  <c r="E19" i="1" s="1"/>
  <c r="F9" i="6"/>
  <c r="J9" s="1"/>
  <c r="E20" i="1" s="1"/>
  <c r="H4" i="6"/>
  <c r="K4" s="1"/>
  <c r="H12"/>
  <c r="H8"/>
  <c r="H14"/>
  <c r="H10"/>
  <c r="H6"/>
  <c r="H13"/>
  <c r="H9"/>
  <c r="H5"/>
  <c r="H3"/>
  <c r="H11"/>
  <c r="I56" i="4"/>
  <c r="I55"/>
  <c r="I54"/>
  <c r="I51"/>
  <c r="I50"/>
  <c r="I49"/>
  <c r="I48"/>
  <c r="I41"/>
  <c r="I40"/>
  <c r="I39"/>
  <c r="I36"/>
  <c r="I35"/>
  <c r="I34"/>
  <c r="I33"/>
  <c r="I26"/>
  <c r="I25"/>
  <c r="I24"/>
  <c r="I21"/>
  <c r="I20"/>
  <c r="I19"/>
  <c r="I18"/>
  <c r="I4"/>
  <c r="I5"/>
  <c r="I6"/>
  <c r="I9"/>
  <c r="I10"/>
  <c r="I11"/>
  <c r="I13"/>
  <c r="I3"/>
  <c r="I58"/>
  <c r="I57"/>
  <c r="F53"/>
  <c r="I53" s="1"/>
  <c r="I52"/>
  <c r="I43"/>
  <c r="I42"/>
  <c r="F38"/>
  <c r="I38" s="1"/>
  <c r="I37"/>
  <c r="F23"/>
  <c r="I22"/>
  <c r="F8"/>
  <c r="I8" s="1"/>
  <c r="F7"/>
  <c r="I7" s="1"/>
  <c r="K3" i="6" l="1"/>
  <c r="K5"/>
  <c r="K6"/>
  <c r="K11"/>
  <c r="H22" i="1"/>
  <c r="K13" i="6"/>
  <c r="K10"/>
  <c r="K8"/>
  <c r="K14"/>
  <c r="K9"/>
  <c r="K12"/>
  <c r="H23" i="1"/>
  <c r="I23" i="4"/>
  <c r="I28"/>
  <c r="H17" i="1"/>
  <c r="H15"/>
  <c r="H16"/>
  <c r="K15" i="6" l="1"/>
  <c r="K16" s="1"/>
  <c r="H24" i="1"/>
  <c r="H25"/>
  <c r="H20"/>
  <c r="H21"/>
  <c r="H19"/>
  <c r="H18"/>
  <c r="H26" l="1"/>
  <c r="D9" i="8" l="1"/>
  <c r="D11"/>
  <c r="D8" l="1"/>
  <c r="J9"/>
  <c r="J11" s="1"/>
  <c r="J10" s="1"/>
  <c r="P9"/>
  <c r="P11" s="1"/>
  <c r="P10" s="1"/>
  <c r="M9"/>
  <c r="M11" s="1"/>
  <c r="M10" s="1"/>
  <c r="L9"/>
  <c r="L11" s="1"/>
  <c r="L10" s="1"/>
  <c r="Q9"/>
  <c r="Q11" s="1"/>
  <c r="Q10" s="1"/>
  <c r="K9"/>
  <c r="K11" s="1"/>
  <c r="K10" s="1"/>
  <c r="N9"/>
  <c r="N11" s="1"/>
  <c r="N10" s="1"/>
  <c r="O9"/>
  <c r="O11" s="1"/>
  <c r="O10" s="1"/>
  <c r="G9"/>
  <c r="G11" s="1"/>
  <c r="F9"/>
  <c r="I9"/>
  <c r="I11" s="1"/>
  <c r="H9"/>
  <c r="H11" s="1"/>
  <c r="H10" l="1"/>
  <c r="G10"/>
  <c r="F11"/>
  <c r="E9"/>
  <c r="I10"/>
  <c r="F12" l="1"/>
  <c r="G12" s="1"/>
  <c r="H12" s="1"/>
  <c r="I12" s="1"/>
  <c r="J12" s="1"/>
  <c r="K12" s="1"/>
  <c r="L12" s="1"/>
  <c r="M12" s="1"/>
  <c r="N12" s="1"/>
  <c r="O12" s="1"/>
  <c r="P12" s="1"/>
  <c r="Q12" s="1"/>
  <c r="F10"/>
  <c r="E10" s="1"/>
  <c r="E11"/>
</calcChain>
</file>

<file path=xl/sharedStrings.xml><?xml version="1.0" encoding="utf-8"?>
<sst xmlns="http://schemas.openxmlformats.org/spreadsheetml/2006/main" count="449" uniqueCount="143">
  <si>
    <t>PLANILHA ORÇAMENTÁRIA DE CUSTOS</t>
  </si>
  <si>
    <t>CONTRATANTE: PREFEITURA MUNICIPAL DE LAGOA SANTA</t>
  </si>
  <si>
    <t>FOLHA Nº: 01</t>
  </si>
  <si>
    <t>LOCAL:  DIVERSOS</t>
  </si>
  <si>
    <t xml:space="preserve">FORMA DE EXECUÇÃO: </t>
  </si>
  <si>
    <t>(    ) DIRETA</t>
  </si>
  <si>
    <t>BDI</t>
  </si>
  <si>
    <t>PRAZO DE EXECUÇÃO: 12 MESES</t>
  </si>
  <si>
    <t>ITEM</t>
  </si>
  <si>
    <t>CÓDIGO</t>
  </si>
  <si>
    <t>DESCRIÇÃO</t>
  </si>
  <si>
    <t>UNIDADE</t>
  </si>
  <si>
    <t>QUANTIDADE</t>
  </si>
  <si>
    <t>PREÇO UNITÁRIO S/ BDI</t>
  </si>
  <si>
    <t>PREÇO UNITÁRIO C/ BDI</t>
  </si>
  <si>
    <t>PREÇO TOTAL</t>
  </si>
  <si>
    <t>M</t>
  </si>
  <si>
    <t>M²</t>
  </si>
  <si>
    <t>TOTAL GERAL DA OBRA</t>
  </si>
  <si>
    <t>CLASSE/TIPO</t>
  </si>
  <si>
    <t>CÓDIGOS</t>
  </si>
  <si>
    <t>COEFICIENTE</t>
  </si>
  <si>
    <t>PREÇO UNITÁRIO</t>
  </si>
  <si>
    <t>TOTAL</t>
  </si>
  <si>
    <t>Acórdão 2622/2013</t>
  </si>
  <si>
    <t>Proponente</t>
  </si>
  <si>
    <t>PREFEITURA MUNICIPAL DE LAGOA SANTA</t>
  </si>
  <si>
    <t>Município</t>
  </si>
  <si>
    <t>UF</t>
  </si>
  <si>
    <t>LAGOA SANTA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</si>
  <si>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</si>
  <si>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</si>
  <si>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</si>
  <si>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</si>
  <si>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</si>
  <si>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</si>
  <si>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</si>
  <si>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</si>
  <si>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</si>
  <si>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</si>
  <si>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</si>
  <si>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</si>
  <si>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>INSS desoneração (E)</t>
  </si>
  <si>
    <t>ou</t>
  </si>
  <si>
    <t>Controle</t>
  </si>
  <si>
    <t>BDI ADMISSÍVEL</t>
  </si>
  <si>
    <t>BDI CALCULADO ----&gt;</t>
  </si>
  <si>
    <t>TRIBUTOS PRATICADOS NO MUNICÍPIO</t>
  </si>
  <si>
    <t>PIS/COFINS</t>
  </si>
  <si>
    <t>Nos percentuais referentes a tributos deverá ser considerado para efeito de calculo o ISS do município ou correspondente na sua inserção no Simples Nacional;</t>
  </si>
  <si>
    <t>DIÓRGENES DE SOUZA BARBOSA</t>
  </si>
  <si>
    <t xml:space="preserve">Diretor de Obras </t>
  </si>
  <si>
    <t>M³</t>
  </si>
  <si>
    <t>EXECUÇÃO DE CONTENÇÃO ATÉ 1 m DE DESNÍVEL - ARRIMO EM BLOCO DE CONCRETO PREENCHIDO COM CONCRETO</t>
  </si>
  <si>
    <t>EXECUÇÃO DE CONTENÇÃO ATÉ 2 m DE DESNÍVEL - ARRIMO EM BLOCO DE CONCRETO PREENCHIDO COM CONCRETO</t>
  </si>
  <si>
    <t>EXECUÇÃO DE CONTENÇÃO ATÉ 3 m DE DESNÍVEL - ARRIMO EM BLOCO DE CONCRETO PREENCHIDO COM CONCRETO</t>
  </si>
  <si>
    <t>EXECUÇÃO DE CONTENÇÃO ATÉ 4 m DE DESNÍVEL - ARRIMO EM BLOCO DE CONCRETO PREENCHIDO COM CONCRETO</t>
  </si>
  <si>
    <t>QTDE:</t>
  </si>
  <si>
    <t>UNID.</t>
  </si>
  <si>
    <t>PERFURAÇÃO DE ESTACA BROCA A TRADO MANUAL D = 200 MM</t>
  </si>
  <si>
    <t>ED-49747</t>
  </si>
  <si>
    <t>KG</t>
  </si>
  <si>
    <t xml:space="preserve">ED-49625 </t>
  </si>
  <si>
    <t>FORNECIMENTO DE CONCRETO NÃO ESTRUTURAL, USINADO, COM FCK 10 MPA, INCLUSIVE LANÇAMENTO, ADENSAMENTO E ACABAMENTO - CAMADA FUNDO DE VALA 30X10 CM</t>
  </si>
  <si>
    <t>FORNECIMENTO DE CONCRETO ESTRUTURAL, USINADO, COM FCK 20 MPA, INCLUSIVE LANÇAMENTO, DENSAMENTO E ACABAMENTO</t>
  </si>
  <si>
    <t>ED-49629</t>
  </si>
  <si>
    <t xml:space="preserve">FORMA E DESFORMA DE TÁBUA E SARRAFO, REAPROVEITAMENTO (3X), EXCLUSIVE ESCORAMENTO </t>
  </si>
  <si>
    <t>ED-49643</t>
  </si>
  <si>
    <t>ALVENARIA ESTRUTURAL COM BLOCO DE CONCRETO, ESP. 19CM, (FBK 4,5MPA), COM ACABAMENTO APARENTE, NCLUSIVE ARGAMASSA PARA ASSENTAMENTO</t>
  </si>
  <si>
    <t>ED-48202</t>
  </si>
  <si>
    <t>DRENO BARBACÃ, DN 75 MM, COM MATERIAL DRENANTE</t>
  </si>
  <si>
    <t>FONTE: SETOP- JUL/2021 / SINAPI - SET/2021</t>
  </si>
  <si>
    <t>PERFURAÇÃO DE ESTACA BROCA A TRADO MANUAL D = 300 MM</t>
  </si>
  <si>
    <t>ED-49749</t>
  </si>
  <si>
    <t>ED-51097</t>
  </si>
  <si>
    <t>ATERRO COMPACTADO MANUAL, COM SOQUETE</t>
  </si>
  <si>
    <t>Elaborado por: Matheus Barbosa da Silva</t>
  </si>
  <si>
    <t>EXECUÇÃO DE CONTENÇÃO - ARRIMO EM BLOCO DE CONCRETO PREENCHIDO COM CONCRETO</t>
  </si>
  <si>
    <t>TOTAL COM BDI</t>
  </si>
  <si>
    <t>BDI:</t>
  </si>
  <si>
    <t>ED-51107</t>
  </si>
  <si>
    <t>ESCAVAÇÃO MANUAL DE VALAS COM PROFUNDIDADE MENOR OU IGUAL A 1,50 M</t>
  </si>
  <si>
    <t>ED-50411</t>
  </si>
  <si>
    <t>GEOTÊXTIL NÃO TECIDO PARA ESTABILIZAÇÃO DE SOLOS</t>
  </si>
  <si>
    <t>FORNECIMENTO E LANÇAMENTO DE BRITA EM DRENO</t>
  </si>
  <si>
    <t>ED-51136</t>
  </si>
  <si>
    <t>MURO DE ARRIMO</t>
  </si>
  <si>
    <t>1.1</t>
  </si>
  <si>
    <t>1.2</t>
  </si>
  <si>
    <t>1.3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</si>
  <si>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</si>
  <si>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</si>
  <si>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</si>
  <si>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</si>
  <si>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</si>
  <si>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</si>
  <si>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</si>
  <si>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</si>
  <si>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</si>
  <si>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ED-48298</t>
  </si>
  <si>
    <t>CORTE, DOBRA E MONTAGEM DE AÇO CA-50/60</t>
  </si>
  <si>
    <t>DATA: Janeiro 2022</t>
  </si>
  <si>
    <t>CALCULO DO BDI -CONSTRUÇÃO DE EDIFÍCIOS</t>
  </si>
  <si>
    <t>OBRA</t>
  </si>
  <si>
    <t>MG</t>
  </si>
  <si>
    <t>ok</t>
  </si>
  <si>
    <t>BDI =[(1+AC+S+R+G)*(1+DF)*(1+L)/(1-(T+E))-1]</t>
  </si>
  <si>
    <t xml:space="preserve">ISS </t>
  </si>
  <si>
    <t>OBRA: EXECUÇÃO DE MURO DE ARRIMO</t>
  </si>
  <si>
    <t>QTDE P/ 100 m</t>
  </si>
  <si>
    <t>ÍNDICE</t>
  </si>
  <si>
    <t>QTDE POR M²</t>
  </si>
  <si>
    <t>VALOR POR M2 C/ BDI</t>
  </si>
  <si>
    <t>1,0 M²</t>
  </si>
  <si>
    <t>SETOP - OUT/2021</t>
  </si>
  <si>
    <t>FONTE: SETOP- OUT/2021 / SINAPI - NOV/2021</t>
  </si>
  <si>
    <t>FONTE: SETOP - OUT/2021 / SINAPI - NOV/2021</t>
  </si>
  <si>
    <t>SINAPI - NOV/2021</t>
  </si>
  <si>
    <t>,</t>
  </si>
  <si>
    <t>( x ) INDIRETA</t>
  </si>
  <si>
    <t>REGIÃO/MÊS DE REFERÊNCIA: SETOP OUT/2021, SINAPI NOV/2021</t>
  </si>
  <si>
    <t>CRONOGRAMA FÍSICO-FINANCEIRO</t>
  </si>
  <si>
    <t>( X )INDIRETA</t>
  </si>
  <si>
    <t>ETAPAS/DESCRIÇÃO</t>
  </si>
  <si>
    <t>FÍSICO/ FINANCEIRO</t>
  </si>
  <si>
    <t>TOTAL  ETAPAS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</si>
  <si>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</si>
  <si>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</si>
  <si>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</si>
  <si>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</si>
  <si>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</si>
  <si>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</si>
  <si>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</si>
  <si>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</si>
  <si>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</si>
  <si>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</si>
  <si>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</si>
  <si>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</si>
  <si>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ACUMULADO</t>
  </si>
  <si>
    <t>DIORGENES DE SOUZA BARBOSA</t>
  </si>
  <si>
    <t>DIRETOR DE OBRAS</t>
  </si>
  <si>
    <t>DATA: 01/2022</t>
  </si>
  <si>
    <t>LOCAL:  VÁRIOS LOCAIS NO MUNICÍPIO</t>
  </si>
</sst>
</file>

<file path=xl/styles.xml><?xml version="1.0" encoding="utf-8"?>
<styleSheet xmlns="http://schemas.openxmlformats.org/spreadsheetml/2006/main">
  <numFmts count="15">
    <numFmt numFmtId="43" formatCode="_-* #,##0.00_-;\-* #,##0.00_-;_-* &quot;-&quot;??_-;_-@_-"/>
    <numFmt numFmtId="164" formatCode="#."/>
    <numFmt numFmtId="165" formatCode="_(&quot;R$ &quot;* #,##0.00_);_(&quot;R$ &quot;* \(#,##0.00\);_(&quot;R$ &quot;* \-??_);_(@_)"/>
    <numFmt numFmtId="166" formatCode="_(&quot;R$&quot;* #,##0.00_);_(&quot;R$&quot;* \(#,##0.00\);_(&quot;R$&quot;* \-??_);_(@_)"/>
    <numFmt numFmtId="167" formatCode="_-&quot;R$ &quot;* #,##0.00_-;&quot;-R$ &quot;* #,##0.00_-;_-&quot;R$ &quot;* \-??_-;_-@_-"/>
    <numFmt numFmtId="168" formatCode="_(* #,##0.00_);_(* \(#,##0.00\);_(* \-??_);_(@_)"/>
    <numFmt numFmtId="169" formatCode="_-* #,##0.00_-;\-* #,##0.00_-;_-* \-??_-;_-@_-"/>
    <numFmt numFmtId="170" formatCode="d/m/yyyy"/>
    <numFmt numFmtId="171" formatCode="_-* #,##0.00000_-;\-* #,##0.00000_-;_-* \-??_-;_-@_-"/>
    <numFmt numFmtId="172" formatCode="_-[$R$-416]\ * #,##0.00_-;\-[$R$-416]\ * #,##0.00_-;_-[$R$-416]\ * \-??_-;_-@_-"/>
    <numFmt numFmtId="173" formatCode="&quot;R$&quot;\ #,##0.00"/>
    <numFmt numFmtId="174" formatCode="0.000"/>
    <numFmt numFmtId="175" formatCode="#,##0.0000"/>
    <numFmt numFmtId="176" formatCode="_(\$* #,##0.00_);_(\$* \(#,##0.00\);_(\$* \-??_);_(@_)"/>
    <numFmt numFmtId="177" formatCode="_-[$R$-416]* #,##0.00_-;\-[$R$-416]* #,##0.00_-;_-[$R$-416]* \-??_-;_-@_-"/>
  </numFmts>
  <fonts count="7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16"/>
      <name val="Courier New"/>
      <family val="3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9"/>
      <name val="Calibri"/>
      <family val="2"/>
      <charset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"/>
      <color indexed="18"/>
      <name val="Courier New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"/>
      <color indexed="16"/>
      <name val="Courier New"/>
      <family val="3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sz val="10"/>
      <color indexed="8"/>
      <name val="Arial"/>
      <family val="2"/>
      <charset val="1"/>
    </font>
    <font>
      <b/>
      <sz val="14"/>
      <color indexed="9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1"/>
    </font>
    <font>
      <b/>
      <sz val="11"/>
      <color indexed="8"/>
      <name val="Calibri"/>
      <family val="2"/>
      <charset val="1"/>
    </font>
    <font>
      <b/>
      <sz val="12"/>
      <color indexed="8"/>
      <name val="Calibri"/>
      <family val="2"/>
      <charset val="1"/>
    </font>
    <font>
      <sz val="11"/>
      <color indexed="8"/>
      <name val="Arial"/>
      <family val="2"/>
    </font>
    <font>
      <b/>
      <sz val="12"/>
      <color indexed="8"/>
      <name val="Arial"/>
      <family val="2"/>
      <charset val="1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  <charset val="1"/>
    </font>
    <font>
      <b/>
      <sz val="14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11"/>
      <color rgb="FFFF0000"/>
      <name val="Calibri"/>
      <family val="2"/>
    </font>
    <font>
      <b/>
      <sz val="8"/>
      <name val="Arial"/>
      <family val="2"/>
    </font>
    <font>
      <b/>
      <u/>
      <sz val="11"/>
      <color indexed="8"/>
      <name val="Calibri"/>
      <family val="2"/>
    </font>
    <font>
      <b/>
      <sz val="10"/>
      <color theme="0"/>
      <name val="Arial"/>
      <family val="2"/>
      <charset val="1"/>
    </font>
    <font>
      <sz val="10"/>
      <name val="Arial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2"/>
      <color indexed="8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  <charset val="1"/>
    </font>
    <font>
      <b/>
      <sz val="18"/>
      <color indexed="9"/>
      <name val="Arial"/>
      <family val="2"/>
    </font>
    <font>
      <b/>
      <sz val="10"/>
      <color indexed="8"/>
      <name val="Arial"/>
      <family val="2"/>
    </font>
    <font>
      <sz val="10"/>
      <name val="Calibri"/>
      <family val="2"/>
    </font>
    <font>
      <sz val="9"/>
      <color indexed="8"/>
      <name val="Arial"/>
      <family val="2"/>
    </font>
    <font>
      <b/>
      <sz val="10"/>
      <name val="Calibri"/>
      <family val="2"/>
    </font>
    <font>
      <sz val="10"/>
      <color indexed="9"/>
      <name val="Arial"/>
      <family val="2"/>
    </font>
    <font>
      <sz val="10"/>
      <color indexed="16"/>
      <name val="Arial"/>
      <family val="2"/>
    </font>
    <font>
      <sz val="10"/>
      <color indexed="58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b/>
      <sz val="24"/>
      <color indexed="8"/>
      <name val="Arial"/>
      <family val="2"/>
    </font>
    <font>
      <u/>
      <sz val="11"/>
      <color indexed="12"/>
      <name val="Calibri"/>
      <family val="2"/>
    </font>
    <font>
      <sz val="10"/>
      <color indexed="19"/>
      <name val="Arial"/>
      <family val="2"/>
    </font>
    <font>
      <sz val="10"/>
      <color indexed="63"/>
      <name val="Arial"/>
      <family val="2"/>
    </font>
    <font>
      <sz val="10"/>
      <name val="Mangal"/>
      <family val="2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12"/>
        <bgColor indexed="39"/>
      </patternFill>
    </fill>
    <fill>
      <patternFill patternType="solid">
        <fgColor theme="0"/>
        <bgColor indexed="6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4" tint="0.59999389629810485"/>
        <bgColor indexed="31"/>
      </patternFill>
    </fill>
    <fill>
      <patternFill patternType="solid">
        <fgColor rgb="FF00B0F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5" tint="0.79998168889431442"/>
        <bgColor indexed="26"/>
      </patternFill>
    </fill>
    <fill>
      <patternFill patternType="solid">
        <fgColor indexed="56"/>
        <bgColor indexed="62"/>
      </patternFill>
    </fill>
    <fill>
      <patternFill patternType="solid">
        <fgColor indexed="51"/>
        <bgColor indexed="3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37"/>
      </patternFill>
    </fill>
  </fills>
  <borders count="1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13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0"/>
    <xf numFmtId="0" fontId="9" fillId="0" borderId="0"/>
    <xf numFmtId="0" fontId="9" fillId="0" borderId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0" fillId="21" borderId="2" applyNumberFormat="0" applyAlignment="0" applyProtection="0"/>
    <xf numFmtId="164" fontId="12" fillId="0" borderId="0">
      <protection locked="0"/>
    </xf>
    <xf numFmtId="0" fontId="3" fillId="0" borderId="0" applyNumberFormat="0" applyFont="0" applyFill="0" applyBorder="0" applyAlignment="0" applyProtection="0"/>
    <xf numFmtId="0" fontId="13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19" borderId="0" applyBorder="0" applyProtection="0"/>
    <xf numFmtId="164" fontId="12" fillId="0" borderId="0">
      <protection locked="0"/>
    </xf>
    <xf numFmtId="0" fontId="7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7" borderId="1" applyNumberFormat="0" applyAlignment="0" applyProtection="0"/>
    <xf numFmtId="0" fontId="11" fillId="0" borderId="3" applyNumberFormat="0" applyFill="0" applyAlignment="0" applyProtection="0"/>
    <xf numFmtId="165" fontId="13" fillId="0" borderId="0" applyFill="0" applyBorder="0" applyAlignment="0" applyProtection="0"/>
    <xf numFmtId="166" fontId="13" fillId="0" borderId="0" applyFill="0" applyBorder="0" applyAlignment="0" applyProtection="0"/>
    <xf numFmtId="167" fontId="3" fillId="0" borderId="0" applyFill="0" applyBorder="0" applyAlignment="0" applyProtection="0"/>
    <xf numFmtId="166" fontId="13" fillId="0" borderId="0" applyFill="0" applyBorder="0" applyAlignment="0" applyProtection="0"/>
    <xf numFmtId="165" fontId="13" fillId="0" borderId="0" applyFill="0" applyBorder="0" applyAlignment="0" applyProtection="0"/>
    <xf numFmtId="165" fontId="13" fillId="0" borderId="0" applyFill="0" applyBorder="0" applyAlignment="0" applyProtection="0"/>
    <xf numFmtId="165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5" fontId="13" fillId="0" borderId="0" applyFill="0" applyBorder="0" applyAlignment="0" applyProtection="0"/>
    <xf numFmtId="165" fontId="13" fillId="0" borderId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3" fillId="23" borderId="7" applyNumberFormat="0" applyAlignment="0" applyProtection="0"/>
    <xf numFmtId="0" fontId="13" fillId="23" borderId="7" applyNumberFormat="0" applyAlignment="0" applyProtection="0"/>
    <xf numFmtId="0" fontId="13" fillId="23" borderId="7" applyNumberFormat="0" applyAlignment="0" applyProtection="0"/>
    <xf numFmtId="0" fontId="13" fillId="23" borderId="7" applyNumberFormat="0" applyAlignment="0" applyProtection="0"/>
    <xf numFmtId="0" fontId="13" fillId="23" borderId="7" applyNumberFormat="0" applyAlignment="0" applyProtection="0"/>
    <xf numFmtId="0" fontId="20" fillId="20" borderId="8" applyNumberFormat="0" applyAlignment="0" applyProtection="0"/>
    <xf numFmtId="164" fontId="12" fillId="0" borderId="0">
      <protection locked="0"/>
    </xf>
    <xf numFmtId="164" fontId="12" fillId="0" borderId="0">
      <protection locked="0"/>
    </xf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164" fontId="21" fillId="0" borderId="0">
      <protection locked="0"/>
    </xf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168" fontId="3" fillId="0" borderId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4" fontId="25" fillId="0" borderId="0">
      <protection locked="0"/>
    </xf>
    <xf numFmtId="164" fontId="25" fillId="0" borderId="0">
      <protection locked="0"/>
    </xf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168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0" fontId="22" fillId="0" borderId="0" applyNumberFormat="0" applyFill="0" applyBorder="0" applyAlignment="0" applyProtection="0"/>
    <xf numFmtId="43" fontId="5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0" fontId="3" fillId="0" borderId="0"/>
    <xf numFmtId="9" fontId="51" fillId="0" borderId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38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8" fillId="20" borderId="1" applyNumberFormat="0" applyAlignment="0" applyProtection="0"/>
    <xf numFmtId="0" fontId="10" fillId="21" borderId="2" applyNumberFormat="0" applyAlignment="0" applyProtection="0"/>
    <xf numFmtId="164" fontId="12" fillId="0" borderId="0">
      <protection locked="0"/>
    </xf>
    <xf numFmtId="164" fontId="12" fillId="0" borderId="0">
      <protection locked="0"/>
    </xf>
    <xf numFmtId="0" fontId="4" fillId="0" borderId="0" applyNumberFormat="0" applyBorder="0" applyProtection="0"/>
    <xf numFmtId="0" fontId="4" fillId="0" borderId="0"/>
    <xf numFmtId="164" fontId="12" fillId="0" borderId="0">
      <protection locked="0"/>
    </xf>
    <xf numFmtId="164" fontId="12" fillId="0" borderId="0">
      <protection locked="0"/>
    </xf>
    <xf numFmtId="0" fontId="7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4" fillId="7" borderId="1" applyNumberFormat="0" applyAlignment="0" applyProtection="0"/>
    <xf numFmtId="167" fontId="52" fillId="0" borderId="0" applyBorder="0">
      <protection locked="0"/>
    </xf>
    <xf numFmtId="167" fontId="52" fillId="0" borderId="0" applyBorder="0">
      <protection locked="0"/>
    </xf>
    <xf numFmtId="167" fontId="52" fillId="0" borderId="0" applyBorder="0">
      <protection locked="0"/>
    </xf>
    <xf numFmtId="167" fontId="52" fillId="0" borderId="0" applyBorder="0">
      <protection locked="0"/>
    </xf>
    <xf numFmtId="167" fontId="52" fillId="0" borderId="0" applyBorder="0">
      <protection locked="0"/>
    </xf>
    <xf numFmtId="167" fontId="52" fillId="0" borderId="0" applyBorder="0">
      <protection locked="0"/>
    </xf>
    <xf numFmtId="167" fontId="52" fillId="0" borderId="0" applyBorder="0">
      <protection locked="0"/>
    </xf>
    <xf numFmtId="167" fontId="52" fillId="0" borderId="0" applyBorder="0">
      <protection locked="0"/>
    </xf>
    <xf numFmtId="167" fontId="52" fillId="0" borderId="0" applyBorder="0">
      <protection locked="0"/>
    </xf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51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51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51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7" fontId="52" fillId="0" borderId="0" applyBorder="0">
      <protection locked="0"/>
    </xf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7" fontId="52" fillId="0" borderId="0" applyBorder="0">
      <protection locked="0"/>
    </xf>
    <xf numFmtId="167" fontId="52" fillId="0" borderId="0" applyBorder="0">
      <protection locked="0"/>
    </xf>
    <xf numFmtId="167" fontId="52" fillId="0" borderId="0" applyBorder="0">
      <protection locked="0"/>
    </xf>
    <xf numFmtId="167" fontId="52" fillId="0" borderId="0" applyBorder="0">
      <protection locked="0"/>
    </xf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51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51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7" fontId="51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4" fillId="0" borderId="0"/>
    <xf numFmtId="0" fontId="4" fillId="0" borderId="0"/>
    <xf numFmtId="0" fontId="36" fillId="0" borderId="0"/>
    <xf numFmtId="0" fontId="5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51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51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20" fillId="20" borderId="8" applyNumberFormat="0" applyAlignment="0" applyProtection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51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51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6" fillId="3" borderId="0" applyNumberFormat="0" applyBorder="0" applyAlignment="0" applyProtection="0"/>
    <xf numFmtId="164" fontId="21" fillId="0" borderId="0">
      <protection locked="0"/>
    </xf>
    <xf numFmtId="164" fontId="21" fillId="0" borderId="0">
      <protection locked="0"/>
    </xf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51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51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4" fontId="25" fillId="0" borderId="0">
      <protection locked="0"/>
    </xf>
    <xf numFmtId="164" fontId="25" fillId="0" borderId="0">
      <protection locked="0"/>
    </xf>
    <xf numFmtId="164" fontId="25" fillId="0" borderId="0">
      <protection locked="0"/>
    </xf>
    <xf numFmtId="164" fontId="25" fillId="0" borderId="0">
      <protection locked="0"/>
    </xf>
    <xf numFmtId="169" fontId="52" fillId="0" borderId="0" applyBorder="0" applyProtection="0"/>
    <xf numFmtId="169" fontId="52" fillId="0" borderId="0" applyBorder="0" applyProtection="0"/>
    <xf numFmtId="169" fontId="52" fillId="0" borderId="0" applyBorder="0" applyProtection="0"/>
    <xf numFmtId="169" fontId="52" fillId="0" borderId="0" applyBorder="0" applyProtection="0"/>
    <xf numFmtId="169" fontId="52" fillId="0" borderId="0" applyBorder="0" applyProtection="0"/>
    <xf numFmtId="169" fontId="52" fillId="0" borderId="0" applyBorder="0" applyProtection="0"/>
    <xf numFmtId="169" fontId="52" fillId="0" borderId="0" applyBorder="0" applyProtection="0"/>
    <xf numFmtId="169" fontId="52" fillId="0" borderId="0" applyBorder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2" fillId="0" borderId="0" applyBorder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2" fillId="0" borderId="0" applyBorder="0" applyProtection="0"/>
    <xf numFmtId="169" fontId="52" fillId="0" borderId="0" applyBorder="0" applyProtection="0"/>
    <xf numFmtId="169" fontId="52" fillId="0" borderId="0" applyBorder="0" applyProtection="0"/>
    <xf numFmtId="169" fontId="52" fillId="0" borderId="0" applyBorder="0" applyProtection="0"/>
    <xf numFmtId="169" fontId="52" fillId="0" borderId="0" applyBorder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51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 applyNumberFormat="0" applyFill="0" applyBorder="0" applyAlignment="0" applyProtection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5" fontId="3" fillId="0" borderId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2" fillId="42" borderId="0" applyNumberFormat="0" applyBorder="0" applyAlignment="0" applyProtection="0"/>
    <xf numFmtId="0" fontId="62" fillId="42" borderId="0" applyNumberFormat="0" applyBorder="0" applyAlignment="0" applyProtection="0"/>
    <xf numFmtId="0" fontId="62" fillId="43" borderId="0" applyNumberFormat="0" applyBorder="0" applyAlignment="0" applyProtection="0"/>
    <xf numFmtId="0" fontId="62" fillId="43" borderId="0" applyNumberFormat="0" applyBorder="0" applyAlignment="0" applyProtection="0"/>
    <xf numFmtId="0" fontId="58" fillId="6" borderId="0" applyNumberFormat="0" applyBorder="0" applyAlignment="0" applyProtection="0"/>
    <xf numFmtId="0" fontId="58" fillId="6" borderId="0" applyNumberFormat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63" fillId="44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3" fillId="4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64" fillId="4" borderId="0" applyNumberFormat="0" applyBorder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65" fillId="45" borderId="0" applyNumberFormat="0" applyBorder="0" applyAlignment="0" applyProtection="0"/>
    <xf numFmtId="0" fontId="65" fillId="45" borderId="0" applyNumberFormat="0" applyBorder="0" applyAlignment="0" applyProtection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64" fillId="4" borderId="0" applyNumberFormat="0" applyBorder="0" applyAlignment="0" applyProtection="0"/>
    <xf numFmtId="0" fontId="7" fillId="4" borderId="0" applyNumberFormat="0" applyBorder="0" applyAlignment="0" applyProtection="0"/>
    <xf numFmtId="0" fontId="64" fillId="4" borderId="0" applyNumberFormat="0" applyBorder="0" applyAlignment="0" applyProtection="0"/>
    <xf numFmtId="0" fontId="67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167" fontId="51" fillId="0" borderId="0" applyFill="0" applyBorder="0" applyAlignment="0" applyProtection="0"/>
    <xf numFmtId="167" fontId="51" fillId="0" borderId="0" applyFill="0" applyBorder="0" applyAlignment="0">
      <protection locked="0"/>
    </xf>
    <xf numFmtId="167" fontId="3" fillId="0" borderId="0" applyFill="0" applyBorder="0" applyAlignment="0" applyProtection="0"/>
    <xf numFmtId="165" fontId="51" fillId="0" borderId="0" applyFill="0" applyBorder="0" applyAlignment="0" applyProtection="0"/>
    <xf numFmtId="165" fontId="51" fillId="0" borderId="0" applyFill="0" applyBorder="0" applyAlignment="0" applyProtection="0"/>
    <xf numFmtId="167" fontId="3" fillId="0" borderId="0" applyFill="0" applyBorder="0" applyAlignment="0" applyProtection="0"/>
    <xf numFmtId="166" fontId="51" fillId="0" borderId="0" applyFill="0" applyBorder="0" applyAlignment="0" applyProtection="0"/>
    <xf numFmtId="165" fontId="3" fillId="0" borderId="0" applyFill="0" applyBorder="0" applyAlignment="0" applyProtection="0"/>
    <xf numFmtId="167" fontId="51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ill="0" applyBorder="0" applyAlignment="0" applyProtection="0"/>
    <xf numFmtId="167" fontId="3" fillId="0" borderId="0" applyFill="0" applyBorder="0" applyAlignment="0" applyProtection="0"/>
    <xf numFmtId="166" fontId="51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51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51" fillId="0" borderId="0" applyFill="0" applyBorder="0" applyAlignment="0" applyProtection="0"/>
    <xf numFmtId="165" fontId="3" fillId="0" borderId="0" applyFill="0" applyBorder="0" applyAlignment="0" applyProtection="0"/>
    <xf numFmtId="165" fontId="51" fillId="0" borderId="0" applyFill="0" applyBorder="0" applyAlignment="0" applyProtection="0"/>
    <xf numFmtId="165" fontId="51" fillId="0" borderId="0" applyFill="0" applyBorder="0" applyAlignment="0" applyProtection="0"/>
    <xf numFmtId="165" fontId="3" fillId="0" borderId="0" applyFill="0" applyBorder="0" applyAlignment="0" applyProtection="0"/>
    <xf numFmtId="166" fontId="51" fillId="0" borderId="0" applyFill="0" applyBorder="0" applyAlignment="0" applyProtection="0"/>
    <xf numFmtId="167" fontId="3" fillId="0" borderId="0" applyFill="0" applyBorder="0" applyAlignment="0" applyProtection="0"/>
    <xf numFmtId="167" fontId="51" fillId="0" borderId="0" applyFill="0" applyBorder="0" applyAlignment="0" applyProtection="0"/>
    <xf numFmtId="167" fontId="3" fillId="0" borderId="0" applyFill="0" applyBorder="0" applyAlignment="0" applyProtection="0"/>
    <xf numFmtId="166" fontId="51" fillId="0" borderId="0" applyFill="0" applyBorder="0" applyAlignment="0" applyProtection="0"/>
    <xf numFmtId="167" fontId="3" fillId="0" borderId="0" applyFill="0" applyBorder="0" applyAlignment="0" applyProtection="0"/>
    <xf numFmtId="176" fontId="51" fillId="0" borderId="0" applyFill="0" applyBorder="0" applyAlignment="0" applyProtection="0"/>
    <xf numFmtId="167" fontId="3" fillId="0" borderId="0" applyFill="0" applyBorder="0" applyAlignment="0" applyProtection="0"/>
    <xf numFmtId="165" fontId="51" fillId="0" borderId="0" applyFill="0" applyBorder="0" applyAlignment="0" applyProtection="0"/>
    <xf numFmtId="165" fontId="3" fillId="0" borderId="0" applyFill="0" applyBorder="0" applyAlignment="0" applyProtection="0"/>
    <xf numFmtId="167" fontId="51" fillId="0" borderId="0" applyFill="0" applyBorder="0" applyAlignment="0">
      <protection locked="0"/>
    </xf>
    <xf numFmtId="165" fontId="51" fillId="0" borderId="0" applyFill="0" applyBorder="0" applyAlignment="0" applyProtection="0"/>
    <xf numFmtId="165" fontId="3" fillId="0" borderId="0" applyFill="0" applyBorder="0" applyAlignment="0" applyProtection="0"/>
    <xf numFmtId="167" fontId="51" fillId="0" borderId="0" applyFill="0" applyBorder="0" applyAlignment="0" applyProtection="0"/>
    <xf numFmtId="167" fontId="51" fillId="0" borderId="0" applyFill="0" applyBorder="0" applyAlignment="0">
      <protection locked="0"/>
    </xf>
    <xf numFmtId="167" fontId="3" fillId="0" borderId="0" applyFill="0" applyBorder="0" applyAlignment="0" applyProtection="0"/>
    <xf numFmtId="167" fontId="51" fillId="0" borderId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1" fillId="23" borderId="0" applyNumberFormat="0" applyBorder="0" applyAlignment="0" applyProtection="0"/>
    <xf numFmtId="0" fontId="19" fillId="22" borderId="0" applyNumberFormat="0" applyBorder="0" applyAlignment="0" applyProtection="0"/>
    <xf numFmtId="0" fontId="71" fillId="23" borderId="0" applyNumberFormat="0" applyBorder="0" applyAlignment="0" applyProtection="0"/>
    <xf numFmtId="0" fontId="19" fillId="22" borderId="0" applyNumberFormat="0" applyBorder="0" applyAlignment="0" applyProtection="0"/>
    <xf numFmtId="0" fontId="71" fillId="23" borderId="0" applyNumberFormat="0" applyBorder="0" applyAlignment="0" applyProtection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3" fillId="0" borderId="0"/>
    <xf numFmtId="0" fontId="4" fillId="0" borderId="0"/>
    <xf numFmtId="0" fontId="4" fillId="0" borderId="0"/>
    <xf numFmtId="0" fontId="4" fillId="0" borderId="0"/>
    <xf numFmtId="177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4" fillId="0" borderId="0"/>
    <xf numFmtId="0" fontId="51" fillId="23" borderId="7" applyNumberFormat="0" applyAlignment="0" applyProtection="0"/>
    <xf numFmtId="0" fontId="3" fillId="23" borderId="7" applyNumberFormat="0" applyAlignment="0" applyProtection="0"/>
    <xf numFmtId="0" fontId="51" fillId="23" borderId="7" applyNumberFormat="0" applyAlignment="0" applyProtection="0"/>
    <xf numFmtId="0" fontId="3" fillId="23" borderId="7" applyNumberFormat="0" applyAlignment="0" applyProtection="0"/>
    <xf numFmtId="0" fontId="51" fillId="23" borderId="7" applyNumberFormat="0" applyAlignment="0" applyProtection="0"/>
    <xf numFmtId="0" fontId="51" fillId="23" borderId="7" applyNumberFormat="0" applyAlignment="0" applyProtection="0"/>
    <xf numFmtId="0" fontId="3" fillId="23" borderId="7" applyNumberFormat="0" applyAlignment="0" applyProtection="0"/>
    <xf numFmtId="0" fontId="3" fillId="23" borderId="7" applyNumberFormat="0" applyAlignment="0" applyProtection="0"/>
    <xf numFmtId="0" fontId="51" fillId="23" borderId="7" applyNumberFormat="0" applyAlignment="0" applyProtection="0"/>
    <xf numFmtId="0" fontId="3" fillId="23" borderId="7" applyNumberFormat="0" applyAlignment="0" applyProtection="0"/>
    <xf numFmtId="0" fontId="51" fillId="23" borderId="7" applyNumberFormat="0" applyAlignment="0" applyProtection="0"/>
    <xf numFmtId="0" fontId="3" fillId="23" borderId="7" applyNumberFormat="0" applyAlignment="0" applyProtection="0"/>
    <xf numFmtId="0" fontId="51" fillId="23" borderId="7" applyNumberFormat="0" applyAlignment="0" applyProtection="0"/>
    <xf numFmtId="0" fontId="51" fillId="23" borderId="7" applyNumberFormat="0" applyAlignment="0" applyProtection="0"/>
    <xf numFmtId="0" fontId="72" fillId="23" borderId="1" applyNumberFormat="0" applyAlignment="0" applyProtection="0"/>
    <xf numFmtId="0" fontId="72" fillId="23" borderId="1" applyNumberFormat="0" applyAlignment="0" applyProtection="0"/>
    <xf numFmtId="0" fontId="51" fillId="23" borderId="7" applyNumberFormat="0" applyAlignment="0" applyProtection="0"/>
    <xf numFmtId="0" fontId="3" fillId="23" borderId="7" applyNumberFormat="0" applyAlignment="0" applyProtection="0"/>
    <xf numFmtId="0" fontId="72" fillId="23" borderId="1" applyNumberFormat="0" applyAlignment="0" applyProtection="0"/>
    <xf numFmtId="0" fontId="51" fillId="23" borderId="7" applyNumberFormat="0" applyAlignment="0" applyProtection="0"/>
    <xf numFmtId="0" fontId="72" fillId="23" borderId="1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9" fontId="51" fillId="0" borderId="0" applyFill="0" applyBorder="0" applyAlignment="0" applyProtection="0"/>
    <xf numFmtId="9" fontId="3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51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51" fillId="0" borderId="0" applyFill="0" applyBorder="0" applyAlignment="0" applyProtection="0"/>
    <xf numFmtId="9" fontId="3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3" fillId="0" borderId="0" applyFill="0" applyBorder="0" applyAlignment="0" applyProtection="0"/>
    <xf numFmtId="9" fontId="51" fillId="0" borderId="0" applyFill="0" applyBorder="0" applyAlignment="0">
      <protection locked="0"/>
    </xf>
    <xf numFmtId="9" fontId="51" fillId="0" borderId="0" applyFill="0" applyBorder="0" applyAlignment="0" applyProtection="0"/>
    <xf numFmtId="9" fontId="3" fillId="0" borderId="0" applyFill="0" applyBorder="0" applyAlignment="0" applyProtection="0"/>
    <xf numFmtId="9" fontId="51" fillId="0" borderId="0" applyFill="0" applyBorder="0" applyAlignment="0" applyProtection="0"/>
    <xf numFmtId="9" fontId="3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3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3" fillId="0" borderId="0" applyFill="0" applyBorder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164" fontId="21" fillId="0" borderId="0">
      <protection locked="0"/>
    </xf>
    <xf numFmtId="164" fontId="21" fillId="0" borderId="0">
      <protection locked="0"/>
    </xf>
    <xf numFmtId="164" fontId="21" fillId="0" borderId="0">
      <protection locked="0"/>
    </xf>
    <xf numFmtId="164" fontId="21" fillId="0" borderId="0">
      <protection locked="0"/>
    </xf>
    <xf numFmtId="168" fontId="51" fillId="0" borderId="0" applyFill="0" applyBorder="0" applyAlignment="0" applyProtection="0"/>
    <xf numFmtId="169" fontId="3" fillId="0" borderId="0" applyFill="0" applyBorder="0" applyAlignment="0" applyProtection="0"/>
    <xf numFmtId="168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51" fillId="0" borderId="0" applyFill="0" applyBorder="0" applyAlignment="0" applyProtection="0"/>
    <xf numFmtId="169" fontId="51" fillId="0" borderId="0" applyFill="0" applyBorder="0" applyAlignment="0" applyProtection="0"/>
    <xf numFmtId="169" fontId="51" fillId="0" borderId="0" applyFill="0" applyBorder="0" applyAlignment="0" applyProtection="0"/>
    <xf numFmtId="169" fontId="51" fillId="0" borderId="0" applyFill="0" applyBorder="0" applyAlignment="0" applyProtection="0"/>
    <xf numFmtId="169" fontId="51" fillId="0" borderId="0" applyFill="0" applyBorder="0" applyAlignment="0" applyProtection="0"/>
    <xf numFmtId="169" fontId="51" fillId="0" borderId="0" applyFill="0" applyBorder="0" applyAlignment="0" applyProtection="0"/>
    <xf numFmtId="169" fontId="51" fillId="0" borderId="0" applyFill="0" applyBorder="0" applyAlignment="0" applyProtection="0"/>
    <xf numFmtId="169" fontId="51" fillId="0" borderId="0" applyFill="0" applyBorder="0" applyAlignment="0" applyProtection="0"/>
    <xf numFmtId="168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8" fontId="51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8" fontId="51" fillId="0" borderId="0" applyFill="0" applyBorder="0" applyAlignment="0" applyProtection="0"/>
    <xf numFmtId="168" fontId="3" fillId="0" borderId="0" applyFill="0" applyBorder="0" applyAlignment="0" applyProtection="0"/>
    <xf numFmtId="169" fontId="51" fillId="0" borderId="0" applyFill="0" applyBorder="0" applyAlignment="0" applyProtection="0"/>
    <xf numFmtId="168" fontId="51" fillId="0" borderId="0" applyFill="0" applyBorder="0" applyAlignment="0" applyProtection="0"/>
    <xf numFmtId="168" fontId="51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51" fillId="0" borderId="0" applyFill="0" applyBorder="0" applyAlignment="0" applyProtection="0"/>
    <xf numFmtId="168" fontId="73" fillId="0" borderId="0" applyFill="0" applyBorder="0" applyAlignment="0" applyProtection="0"/>
    <xf numFmtId="168" fontId="3" fillId="0" borderId="0" applyFill="0" applyBorder="0" applyAlignment="0" applyProtection="0"/>
    <xf numFmtId="169" fontId="51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9" fontId="3" fillId="0" borderId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165" fontId="51" fillId="0" borderId="0" applyFill="0" applyBorder="0" applyAlignment="0" applyProtection="0"/>
    <xf numFmtId="165" fontId="51" fillId="0" borderId="0" applyFill="0" applyBorder="0" applyAlignment="0" applyProtection="0"/>
    <xf numFmtId="166" fontId="51" fillId="0" borderId="0" applyFill="0" applyBorder="0" applyAlignment="0" applyProtection="0"/>
    <xf numFmtId="165" fontId="51" fillId="0" borderId="0" applyFill="0" applyBorder="0" applyAlignment="0" applyProtection="0"/>
    <xf numFmtId="165" fontId="51" fillId="0" borderId="0" applyFill="0" applyBorder="0" applyAlignment="0" applyProtection="0"/>
    <xf numFmtId="165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5" fontId="51" fillId="0" borderId="0" applyFill="0" applyBorder="0" applyAlignment="0" applyProtection="0"/>
    <xf numFmtId="165" fontId="51" fillId="0" borderId="0" applyFill="0" applyBorder="0" applyAlignment="0" applyProtection="0"/>
    <xf numFmtId="0" fontId="51" fillId="23" borderId="7" applyNumberFormat="0" applyAlignment="0" applyProtection="0"/>
    <xf numFmtId="0" fontId="51" fillId="23" borderId="7" applyNumberFormat="0" applyAlignment="0" applyProtection="0"/>
    <xf numFmtId="0" fontId="51" fillId="23" borderId="7" applyNumberFormat="0" applyAlignment="0" applyProtection="0"/>
    <xf numFmtId="0" fontId="51" fillId="23" borderId="7" applyNumberFormat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168" fontId="51" fillId="0" borderId="0" applyFill="0" applyBorder="0" applyAlignment="0" applyProtection="0"/>
    <xf numFmtId="168" fontId="51" fillId="0" borderId="0" applyFill="0" applyBorder="0" applyAlignment="0" applyProtection="0"/>
    <xf numFmtId="168" fontId="51" fillId="0" borderId="0" applyFill="0" applyBorder="0" applyAlignment="0" applyProtection="0"/>
    <xf numFmtId="168" fontId="51" fillId="0" borderId="0" applyFill="0" applyBorder="0" applyAlignment="0" applyProtection="0"/>
    <xf numFmtId="168" fontId="51" fillId="0" borderId="0" applyFill="0" applyBorder="0" applyAlignment="0" applyProtection="0"/>
    <xf numFmtId="168" fontId="51" fillId="0" borderId="0" applyFill="0" applyBorder="0" applyAlignment="0" applyProtection="0"/>
    <xf numFmtId="168" fontId="73" fillId="0" borderId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</cellStyleXfs>
  <cellXfs count="318">
    <xf numFmtId="0" fontId="3" fillId="0" borderId="0" xfId="0" applyFont="1"/>
    <xf numFmtId="0" fontId="28" fillId="0" borderId="0" xfId="145" applyNumberFormat="1" applyFont="1" applyFill="1" applyBorder="1" applyAlignment="1" applyProtection="1"/>
    <xf numFmtId="0" fontId="30" fillId="0" borderId="11" xfId="145" applyNumberFormat="1" applyFont="1" applyFill="1" applyBorder="1" applyAlignment="1" applyProtection="1">
      <alignment horizontal="center" vertical="center"/>
    </xf>
    <xf numFmtId="0" fontId="30" fillId="0" borderId="12" xfId="145" applyNumberFormat="1" applyFont="1" applyFill="1" applyBorder="1" applyAlignment="1" applyProtection="1">
      <alignment horizontal="center" vertical="center"/>
    </xf>
    <xf numFmtId="0" fontId="30" fillId="0" borderId="12" xfId="145" applyNumberFormat="1" applyFont="1" applyFill="1" applyBorder="1" applyAlignment="1" applyProtection="1">
      <alignment horizontal="center" vertical="center" wrapText="1"/>
    </xf>
    <xf numFmtId="0" fontId="30" fillId="0" borderId="13" xfId="145" applyNumberFormat="1" applyFont="1" applyFill="1" applyBorder="1" applyAlignment="1" applyProtection="1">
      <alignment horizontal="center" vertical="center" wrapText="1"/>
    </xf>
    <xf numFmtId="4" fontId="33" fillId="22" borderId="13" xfId="145" applyNumberFormat="1" applyFont="1" applyFill="1" applyBorder="1" applyAlignment="1" applyProtection="1">
      <alignment horizontal="right" vertical="center" wrapText="1"/>
    </xf>
    <xf numFmtId="0" fontId="32" fillId="0" borderId="14" xfId="145" applyNumberFormat="1" applyFont="1" applyFill="1" applyBorder="1" applyAlignment="1" applyProtection="1">
      <alignment horizontal="right" vertical="center" wrapText="1"/>
    </xf>
    <xf numFmtId="0" fontId="32" fillId="0" borderId="0" xfId="145" applyNumberFormat="1" applyFont="1" applyFill="1" applyBorder="1" applyAlignment="1" applyProtection="1">
      <alignment horizontal="right" vertical="center" wrapText="1"/>
    </xf>
    <xf numFmtId="4" fontId="33" fillId="0" borderId="15" xfId="145" applyNumberFormat="1" applyFont="1" applyFill="1" applyBorder="1" applyAlignment="1" applyProtection="1">
      <alignment horizontal="right" vertical="center" wrapText="1"/>
    </xf>
    <xf numFmtId="4" fontId="28" fillId="0" borderId="0" xfId="145" applyNumberFormat="1" applyFont="1" applyFill="1" applyBorder="1" applyAlignment="1" applyProtection="1"/>
    <xf numFmtId="0" fontId="28" fillId="0" borderId="14" xfId="145" applyNumberFormat="1" applyFont="1" applyFill="1" applyBorder="1" applyAlignment="1" applyProtection="1"/>
    <xf numFmtId="0" fontId="28" fillId="0" borderId="15" xfId="145" applyNumberFormat="1" applyFont="1" applyFill="1" applyBorder="1" applyAlignment="1" applyProtection="1"/>
    <xf numFmtId="0" fontId="28" fillId="0" borderId="16" xfId="145" applyNumberFormat="1" applyFont="1" applyFill="1" applyBorder="1" applyAlignment="1" applyProtection="1"/>
    <xf numFmtId="0" fontId="28" fillId="0" borderId="17" xfId="145" applyNumberFormat="1" applyFont="1" applyFill="1" applyBorder="1" applyAlignment="1" applyProtection="1"/>
    <xf numFmtId="0" fontId="28" fillId="0" borderId="18" xfId="145" applyNumberFormat="1" applyFont="1" applyFill="1" applyBorder="1" applyAlignment="1" applyProtection="1"/>
    <xf numFmtId="0" fontId="4" fillId="0" borderId="0" xfId="204"/>
    <xf numFmtId="0" fontId="4" fillId="0" borderId="14" xfId="204" applyBorder="1" applyAlignment="1">
      <alignment horizontal="center"/>
    </xf>
    <xf numFmtId="4" fontId="44" fillId="26" borderId="12" xfId="218" applyNumberFormat="1" applyFont="1" applyFill="1" applyBorder="1" applyAlignment="1">
      <alignment horizontal="center" vertical="center" wrapText="1"/>
    </xf>
    <xf numFmtId="0" fontId="46" fillId="0" borderId="22" xfId="204" applyFont="1" applyBorder="1"/>
    <xf numFmtId="0" fontId="46" fillId="0" borderId="23" xfId="204" applyFont="1" applyBorder="1"/>
    <xf numFmtId="0" fontId="46" fillId="0" borderId="0" xfId="204" applyFont="1" applyBorder="1"/>
    <xf numFmtId="4" fontId="45" fillId="24" borderId="15" xfId="218" applyNumberFormat="1" applyFont="1" applyFill="1" applyBorder="1" applyAlignment="1">
      <alignment horizontal="center" vertical="center" wrapText="1"/>
    </xf>
    <xf numFmtId="0" fontId="47" fillId="0" borderId="0" xfId="204" applyFont="1"/>
    <xf numFmtId="0" fontId="48" fillId="28" borderId="19" xfId="204" applyFont="1" applyFill="1" applyBorder="1" applyAlignment="1">
      <alignment horizontal="left" vertical="center" wrapText="1"/>
    </xf>
    <xf numFmtId="171" fontId="48" fillId="28" borderId="19" xfId="287" applyNumberFormat="1" applyFont="1" applyFill="1" applyBorder="1" applyAlignment="1" applyProtection="1">
      <alignment horizontal="right" vertical="center"/>
    </xf>
    <xf numFmtId="169" fontId="48" fillId="28" borderId="19" xfId="287" applyFont="1" applyFill="1" applyBorder="1" applyAlignment="1" applyProtection="1">
      <alignment horizontal="right" vertical="center"/>
    </xf>
    <xf numFmtId="172" fontId="48" fillId="28" borderId="19" xfId="287" applyNumberFormat="1" applyFont="1" applyFill="1" applyBorder="1" applyAlignment="1" applyProtection="1">
      <alignment horizontal="right" vertical="center"/>
    </xf>
    <xf numFmtId="2" fontId="48" fillId="21" borderId="12" xfId="218" applyNumberFormat="1" applyFont="1" applyFill="1" applyBorder="1" applyAlignment="1">
      <alignment horizontal="center" vertical="center" wrapText="1"/>
    </xf>
    <xf numFmtId="0" fontId="48" fillId="21" borderId="12" xfId="218" applyFont="1" applyFill="1" applyBorder="1" applyAlignment="1">
      <alignment horizontal="center" vertical="center" wrapText="1"/>
    </xf>
    <xf numFmtId="4" fontId="48" fillId="21" borderId="12" xfId="218" applyNumberFormat="1" applyFont="1" applyFill="1" applyBorder="1" applyAlignment="1">
      <alignment horizontal="center" vertical="center" wrapText="1"/>
    </xf>
    <xf numFmtId="171" fontId="44" fillId="20" borderId="19" xfId="287" applyNumberFormat="1" applyFont="1" applyFill="1" applyBorder="1" applyAlignment="1" applyProtection="1">
      <alignment horizontal="right" vertical="center"/>
    </xf>
    <xf numFmtId="169" fontId="44" fillId="20" borderId="19" xfId="287" applyFont="1" applyFill="1" applyBorder="1" applyAlignment="1" applyProtection="1">
      <alignment horizontal="right" vertical="center"/>
    </xf>
    <xf numFmtId="172" fontId="48" fillId="20" borderId="19" xfId="287" applyNumberFormat="1" applyFont="1" applyFill="1" applyBorder="1" applyAlignment="1" applyProtection="1">
      <alignment horizontal="right" vertical="center"/>
    </xf>
    <xf numFmtId="0" fontId="44" fillId="24" borderId="12" xfId="218" applyFont="1" applyFill="1" applyBorder="1" applyAlignment="1">
      <alignment horizontal="left" vertical="center" wrapText="1"/>
    </xf>
    <xf numFmtId="0" fontId="44" fillId="24" borderId="12" xfId="218" applyFont="1" applyFill="1" applyBorder="1" applyAlignment="1">
      <alignment horizontal="center" vertical="center" wrapText="1"/>
    </xf>
    <xf numFmtId="4" fontId="44" fillId="24" borderId="12" xfId="218" applyNumberFormat="1" applyFont="1" applyFill="1" applyBorder="1" applyAlignment="1">
      <alignment horizontal="center" vertical="center" wrapText="1"/>
    </xf>
    <xf numFmtId="0" fontId="44" fillId="0" borderId="12" xfId="218" applyFont="1" applyFill="1" applyBorder="1" applyAlignment="1">
      <alignment horizontal="left" vertical="center" wrapText="1"/>
    </xf>
    <xf numFmtId="0" fontId="44" fillId="0" borderId="21" xfId="204" applyFont="1" applyBorder="1"/>
    <xf numFmtId="0" fontId="44" fillId="0" borderId="22" xfId="204" applyFont="1" applyBorder="1"/>
    <xf numFmtId="0" fontId="44" fillId="0" borderId="23" xfId="204" applyFont="1" applyBorder="1"/>
    <xf numFmtId="4" fontId="44" fillId="0" borderId="12" xfId="218" applyNumberFormat="1" applyFont="1" applyFill="1" applyBorder="1" applyAlignment="1">
      <alignment horizontal="center" vertical="center" wrapText="1"/>
    </xf>
    <xf numFmtId="0" fontId="44" fillId="0" borderId="46" xfId="218" applyFont="1" applyFill="1" applyBorder="1" applyAlignment="1">
      <alignment horizontal="left" vertical="center" wrapText="1"/>
    </xf>
    <xf numFmtId="174" fontId="4" fillId="0" borderId="0" xfId="204" applyNumberFormat="1"/>
    <xf numFmtId="175" fontId="44" fillId="26" borderId="12" xfId="218" applyNumberFormat="1" applyFont="1" applyFill="1" applyBorder="1" applyAlignment="1">
      <alignment horizontal="center" vertical="center" wrapText="1"/>
    </xf>
    <xf numFmtId="0" fontId="36" fillId="0" borderId="11" xfId="145" applyNumberFormat="1" applyFont="1" applyFill="1" applyBorder="1" applyAlignment="1" applyProtection="1">
      <alignment horizontal="center" vertical="center"/>
    </xf>
    <xf numFmtId="0" fontId="30" fillId="34" borderId="12" xfId="145" applyNumberFormat="1" applyFont="1" applyFill="1" applyBorder="1" applyAlignment="1" applyProtection="1">
      <alignment horizontal="center" vertical="center"/>
    </xf>
    <xf numFmtId="0" fontId="30" fillId="34" borderId="12" xfId="145" applyNumberFormat="1" applyFont="1" applyFill="1" applyBorder="1" applyAlignment="1" applyProtection="1">
      <alignment horizontal="center" vertical="center" wrapText="1"/>
    </xf>
    <xf numFmtId="0" fontId="30" fillId="34" borderId="13" xfId="145" applyNumberFormat="1" applyFont="1" applyFill="1" applyBorder="1" applyAlignment="1" applyProtection="1">
      <alignment horizontal="center" vertical="center" wrapText="1"/>
    </xf>
    <xf numFmtId="0" fontId="36" fillId="35" borderId="11" xfId="145" applyNumberFormat="1" applyFont="1" applyFill="1" applyBorder="1" applyAlignment="1" applyProtection="1">
      <alignment horizontal="center" vertical="center"/>
    </xf>
    <xf numFmtId="0" fontId="30" fillId="35" borderId="12" xfId="145" applyNumberFormat="1" applyFont="1" applyFill="1" applyBorder="1" applyAlignment="1" applyProtection="1">
      <alignment horizontal="center" vertical="center"/>
    </xf>
    <xf numFmtId="0" fontId="30" fillId="35" borderId="12" xfId="145" applyNumberFormat="1" applyFont="1" applyFill="1" applyBorder="1" applyAlignment="1" applyProtection="1">
      <alignment horizontal="center" vertical="center" wrapText="1"/>
    </xf>
    <xf numFmtId="0" fontId="30" fillId="35" borderId="13" xfId="145" applyNumberFormat="1" applyFont="1" applyFill="1" applyBorder="1" applyAlignment="1" applyProtection="1">
      <alignment horizontal="center" vertical="center" wrapText="1"/>
    </xf>
    <xf numFmtId="0" fontId="50" fillId="35" borderId="12" xfId="145" applyNumberFormat="1" applyFont="1" applyFill="1" applyBorder="1" applyAlignment="1" applyProtection="1">
      <alignment horizontal="center" vertical="center"/>
    </xf>
    <xf numFmtId="0" fontId="50" fillId="34" borderId="12" xfId="145" applyNumberFormat="1" applyFont="1" applyFill="1" applyBorder="1" applyAlignment="1" applyProtection="1">
      <alignment horizontal="left" vertical="center" wrapText="1"/>
    </xf>
    <xf numFmtId="0" fontId="50" fillId="34" borderId="11" xfId="145" applyNumberFormat="1" applyFont="1" applyFill="1" applyBorder="1" applyAlignment="1" applyProtection="1">
      <alignment horizontal="center" vertical="center"/>
    </xf>
    <xf numFmtId="4" fontId="36" fillId="0" borderId="12" xfId="145" applyNumberFormat="1" applyFont="1" applyFill="1" applyBorder="1" applyAlignment="1" applyProtection="1">
      <alignment horizontal="right" vertical="center"/>
    </xf>
    <xf numFmtId="4" fontId="36" fillId="0" borderId="12" xfId="145" applyNumberFormat="1" applyFont="1" applyFill="1" applyBorder="1" applyAlignment="1" applyProtection="1">
      <alignment horizontal="right" vertical="center" wrapText="1"/>
    </xf>
    <xf numFmtId="4" fontId="36" fillId="0" borderId="13" xfId="145" applyNumberFormat="1" applyFont="1" applyFill="1" applyBorder="1" applyAlignment="1" applyProtection="1">
      <alignment horizontal="right" vertical="center" wrapText="1"/>
    </xf>
    <xf numFmtId="2" fontId="28" fillId="0" borderId="0" xfId="145" applyNumberFormat="1" applyFont="1" applyFill="1" applyBorder="1" applyAlignment="1" applyProtection="1"/>
    <xf numFmtId="0" fontId="3" fillId="24" borderId="46" xfId="218" applyFont="1" applyFill="1" applyBorder="1" applyAlignment="1">
      <alignment horizontal="center" vertical="center" wrapText="1"/>
    </xf>
    <xf numFmtId="0" fontId="3" fillId="24" borderId="46" xfId="218" applyFont="1" applyFill="1" applyBorder="1" applyAlignment="1">
      <alignment horizontal="left" vertical="center" wrapText="1"/>
    </xf>
    <xf numFmtId="0" fontId="3" fillId="24" borderId="12" xfId="218" applyFont="1" applyFill="1" applyBorder="1" applyAlignment="1">
      <alignment horizontal="center" vertical="center" wrapText="1"/>
    </xf>
    <xf numFmtId="0" fontId="3" fillId="0" borderId="12" xfId="218" applyFont="1" applyFill="1" applyBorder="1" applyAlignment="1">
      <alignment horizontal="left" vertical="center" wrapText="1"/>
    </xf>
    <xf numFmtId="0" fontId="3" fillId="0" borderId="46" xfId="218" applyFont="1" applyFill="1" applyBorder="1" applyAlignment="1">
      <alignment horizontal="left" vertical="center" wrapText="1"/>
    </xf>
    <xf numFmtId="0" fontId="3" fillId="0" borderId="46" xfId="218" applyFont="1" applyFill="1" applyBorder="1" applyAlignment="1">
      <alignment horizontal="center" vertical="center" wrapText="1"/>
    </xf>
    <xf numFmtId="4" fontId="44" fillId="36" borderId="12" xfId="218" applyNumberFormat="1" applyFont="1" applyFill="1" applyBorder="1" applyAlignment="1">
      <alignment horizontal="center" vertical="center" wrapText="1"/>
    </xf>
    <xf numFmtId="0" fontId="49" fillId="0" borderId="0" xfId="204" applyFont="1" applyBorder="1" applyAlignment="1"/>
    <xf numFmtId="0" fontId="26" fillId="27" borderId="50" xfId="204" applyFont="1" applyFill="1" applyBorder="1" applyAlignment="1">
      <alignment horizontal="center" vertical="center"/>
    </xf>
    <xf numFmtId="0" fontId="4" fillId="0" borderId="54" xfId="204" applyBorder="1" applyAlignment="1">
      <alignment horizontal="center" vertical="center"/>
    </xf>
    <xf numFmtId="4" fontId="48" fillId="21" borderId="55" xfId="218" applyNumberFormat="1" applyFont="1" applyFill="1" applyBorder="1" applyAlignment="1">
      <alignment horizontal="center" vertical="center" wrapText="1"/>
    </xf>
    <xf numFmtId="4" fontId="44" fillId="24" borderId="55" xfId="218" applyNumberFormat="1" applyFont="1" applyFill="1" applyBorder="1" applyAlignment="1">
      <alignment horizontal="center" vertical="center" wrapText="1"/>
    </xf>
    <xf numFmtId="0" fontId="44" fillId="0" borderId="0" xfId="0" applyFont="1" applyBorder="1" applyAlignment="1">
      <alignment vertical="center"/>
    </xf>
    <xf numFmtId="0" fontId="4" fillId="0" borderId="56" xfId="204" applyBorder="1" applyAlignment="1">
      <alignment horizontal="center" vertical="center"/>
    </xf>
    <xf numFmtId="4" fontId="48" fillId="29" borderId="57" xfId="218" applyNumberFormat="1" applyFont="1" applyFill="1" applyBorder="1" applyAlignment="1">
      <alignment horizontal="center" vertical="center" wrapText="1"/>
    </xf>
    <xf numFmtId="4" fontId="45" fillId="24" borderId="58" xfId="218" applyNumberFormat="1" applyFont="1" applyFill="1" applyBorder="1" applyAlignment="1">
      <alignment horizontal="center" vertical="center" wrapText="1"/>
    </xf>
    <xf numFmtId="0" fontId="26" fillId="27" borderId="59" xfId="204" applyFont="1" applyFill="1" applyBorder="1" applyAlignment="1">
      <alignment horizontal="center" vertical="center"/>
    </xf>
    <xf numFmtId="172" fontId="48" fillId="28" borderId="60" xfId="287" applyNumberFormat="1" applyFont="1" applyFill="1" applyBorder="1" applyAlignment="1" applyProtection="1">
      <alignment horizontal="right" vertical="center"/>
    </xf>
    <xf numFmtId="0" fontId="4" fillId="0" borderId="54" xfId="204" applyBorder="1" applyAlignment="1">
      <alignment horizontal="center"/>
    </xf>
    <xf numFmtId="172" fontId="48" fillId="20" borderId="60" xfId="287" applyNumberFormat="1" applyFont="1" applyFill="1" applyBorder="1" applyAlignment="1" applyProtection="1">
      <alignment horizontal="right" vertical="center"/>
    </xf>
    <xf numFmtId="0" fontId="4" fillId="0" borderId="61" xfId="204" applyBorder="1" applyAlignment="1">
      <alignment horizontal="center"/>
    </xf>
    <xf numFmtId="0" fontId="44" fillId="0" borderId="62" xfId="204" applyFont="1" applyBorder="1"/>
    <xf numFmtId="0" fontId="44" fillId="0" borderId="63" xfId="204" applyFont="1" applyBorder="1"/>
    <xf numFmtId="0" fontId="44" fillId="0" borderId="64" xfId="204" applyFont="1" applyBorder="1"/>
    <xf numFmtId="4" fontId="48" fillId="29" borderId="65" xfId="218" applyNumberFormat="1" applyFont="1" applyFill="1" applyBorder="1" applyAlignment="1">
      <alignment horizontal="center" vertical="center" wrapText="1"/>
    </xf>
    <xf numFmtId="0" fontId="26" fillId="27" borderId="66" xfId="204" applyFont="1" applyFill="1" applyBorder="1" applyAlignment="1">
      <alignment horizontal="center" vertical="center"/>
    </xf>
    <xf numFmtId="0" fontId="4" fillId="0" borderId="69" xfId="204" applyBorder="1" applyAlignment="1">
      <alignment horizontal="center"/>
    </xf>
    <xf numFmtId="4" fontId="44" fillId="0" borderId="70" xfId="218" applyNumberFormat="1" applyFont="1" applyFill="1" applyBorder="1" applyAlignment="1">
      <alignment horizontal="center" vertical="center" wrapText="1"/>
    </xf>
    <xf numFmtId="172" fontId="48" fillId="33" borderId="70" xfId="287" applyNumberFormat="1" applyFont="1" applyFill="1" applyBorder="1" applyAlignment="1" applyProtection="1">
      <alignment horizontal="right" vertical="center"/>
    </xf>
    <xf numFmtId="2" fontId="43" fillId="21" borderId="46" xfId="218" applyNumberFormat="1" applyFont="1" applyFill="1" applyBorder="1" applyAlignment="1">
      <alignment horizontal="center" vertical="center" wrapText="1"/>
    </xf>
    <xf numFmtId="43" fontId="54" fillId="0" borderId="0" xfId="289" applyFont="1" applyFill="1" applyBorder="1" applyAlignment="1" applyProtection="1">
      <alignment vertical="center"/>
    </xf>
    <xf numFmtId="173" fontId="26" fillId="0" borderId="99" xfId="204" applyNumberFormat="1" applyFont="1" applyBorder="1" applyAlignment="1">
      <alignment vertical="center"/>
    </xf>
    <xf numFmtId="0" fontId="44" fillId="0" borderId="12" xfId="218" applyFont="1" applyFill="1" applyBorder="1" applyAlignment="1">
      <alignment horizontal="center" vertical="center" wrapText="1"/>
    </xf>
    <xf numFmtId="0" fontId="48" fillId="30" borderId="73" xfId="204" applyFont="1" applyFill="1" applyBorder="1" applyAlignment="1">
      <alignment vertical="center"/>
    </xf>
    <xf numFmtId="10" fontId="48" fillId="30" borderId="72" xfId="204" applyNumberFormat="1" applyFont="1" applyFill="1" applyBorder="1" applyAlignment="1">
      <alignment vertical="center"/>
    </xf>
    <xf numFmtId="0" fontId="48" fillId="30" borderId="72" xfId="204" applyFont="1" applyFill="1" applyBorder="1" applyAlignment="1">
      <alignment horizontal="right" vertical="center"/>
    </xf>
    <xf numFmtId="0" fontId="45" fillId="30" borderId="72" xfId="204" applyFont="1" applyFill="1" applyBorder="1" applyAlignment="1">
      <alignment vertical="center"/>
    </xf>
    <xf numFmtId="0" fontId="45" fillId="30" borderId="71" xfId="204" applyFont="1" applyFill="1" applyBorder="1" applyAlignment="1">
      <alignment vertical="center"/>
    </xf>
    <xf numFmtId="4" fontId="44" fillId="24" borderId="46" xfId="218" applyNumberFormat="1" applyFont="1" applyFill="1" applyBorder="1" applyAlignment="1">
      <alignment vertical="center" wrapText="1"/>
    </xf>
    <xf numFmtId="0" fontId="44" fillId="41" borderId="12" xfId="218" applyFont="1" applyFill="1" applyBorder="1" applyAlignment="1">
      <alignment horizontal="center" vertical="center" wrapText="1"/>
    </xf>
    <xf numFmtId="0" fontId="44" fillId="41" borderId="46" xfId="218" applyFont="1" applyFill="1" applyBorder="1" applyAlignment="1">
      <alignment horizontal="center" vertical="center" wrapText="1"/>
    </xf>
    <xf numFmtId="0" fontId="44" fillId="32" borderId="12" xfId="218" applyFont="1" applyFill="1" applyBorder="1" applyAlignment="1">
      <alignment horizontal="center" vertical="center" wrapText="1"/>
    </xf>
    <xf numFmtId="4" fontId="45" fillId="24" borderId="0" xfId="218" applyNumberFormat="1" applyFont="1" applyFill="1" applyBorder="1" applyAlignment="1">
      <alignment horizontal="center" vertical="center" wrapText="1"/>
    </xf>
    <xf numFmtId="4" fontId="48" fillId="29" borderId="0" xfId="218" applyNumberFormat="1" applyFont="1" applyFill="1" applyBorder="1" applyAlignment="1">
      <alignment horizontal="center" vertical="center" wrapText="1"/>
    </xf>
    <xf numFmtId="4" fontId="44" fillId="24" borderId="0" xfId="218" applyNumberFormat="1" applyFont="1" applyFill="1" applyBorder="1" applyAlignment="1">
      <alignment horizontal="center" vertical="center" wrapText="1"/>
    </xf>
    <xf numFmtId="172" fontId="48" fillId="28" borderId="0" xfId="287" applyNumberFormat="1" applyFont="1" applyFill="1" applyBorder="1" applyAlignment="1" applyProtection="1">
      <alignment horizontal="right" vertical="center"/>
    </xf>
    <xf numFmtId="0" fontId="44" fillId="40" borderId="0" xfId="0" applyFont="1" applyFill="1" applyBorder="1" applyAlignment="1">
      <alignment vertical="center"/>
    </xf>
    <xf numFmtId="0" fontId="44" fillId="40" borderId="12" xfId="218" applyFont="1" applyFill="1" applyBorder="1" applyAlignment="1">
      <alignment horizontal="left" vertical="center" wrapText="1"/>
    </xf>
    <xf numFmtId="0" fontId="44" fillId="39" borderId="12" xfId="218" applyFont="1" applyFill="1" applyBorder="1" applyAlignment="1">
      <alignment horizontal="left" vertical="center" wrapText="1"/>
    </xf>
    <xf numFmtId="4" fontId="43" fillId="21" borderId="70" xfId="218" applyNumberFormat="1" applyFont="1" applyFill="1" applyBorder="1" applyAlignment="1">
      <alignment horizontal="center" vertical="center" wrapText="1"/>
    </xf>
    <xf numFmtId="4" fontId="43" fillId="21" borderId="46" xfId="218" applyNumberFormat="1" applyFont="1" applyFill="1" applyBorder="1" applyAlignment="1">
      <alignment horizontal="center" vertical="center" wrapText="1"/>
    </xf>
    <xf numFmtId="0" fontId="43" fillId="21" borderId="46" xfId="218" applyFont="1" applyFill="1" applyBorder="1" applyAlignment="1">
      <alignment horizontal="center" vertical="center" wrapText="1"/>
    </xf>
    <xf numFmtId="172" fontId="43" fillId="20" borderId="68" xfId="287" applyNumberFormat="1" applyFont="1" applyFill="1" applyBorder="1" applyAlignment="1" applyProtection="1">
      <alignment horizontal="right" vertical="center"/>
    </xf>
    <xf numFmtId="172" fontId="43" fillId="20" borderId="67" xfId="287" applyNumberFormat="1" applyFont="1" applyFill="1" applyBorder="1" applyAlignment="1" applyProtection="1">
      <alignment horizontal="right" vertical="center"/>
    </xf>
    <xf numFmtId="169" fontId="3" fillId="20" borderId="67" xfId="287" applyFont="1" applyFill="1" applyBorder="1" applyAlignment="1" applyProtection="1">
      <alignment horizontal="right" vertical="center"/>
    </xf>
    <xf numFmtId="171" fontId="3" fillId="20" borderId="67" xfId="287" applyNumberFormat="1" applyFont="1" applyFill="1" applyBorder="1" applyAlignment="1" applyProtection="1">
      <alignment horizontal="right" vertical="center"/>
    </xf>
    <xf numFmtId="0" fontId="43" fillId="28" borderId="67" xfId="204" applyFont="1" applyFill="1" applyBorder="1" applyAlignment="1">
      <alignment horizontal="left" vertical="center" wrapText="1"/>
    </xf>
    <xf numFmtId="4" fontId="48" fillId="21" borderId="0" xfId="218" applyNumberFormat="1" applyFont="1" applyFill="1" applyBorder="1" applyAlignment="1">
      <alignment horizontal="center" vertical="center" wrapText="1"/>
    </xf>
    <xf numFmtId="172" fontId="48" fillId="20" borderId="0" xfId="287" applyNumberFormat="1" applyFont="1" applyFill="1" applyBorder="1" applyAlignment="1" applyProtection="1">
      <alignment horizontal="right" vertical="center"/>
    </xf>
    <xf numFmtId="0" fontId="3" fillId="4" borderId="93" xfId="205" applyFont="1" applyFill="1" applyBorder="1" applyAlignment="1">
      <alignment horizontal="right" vertical="center" wrapText="1"/>
    </xf>
    <xf numFmtId="0" fontId="4" fillId="0" borderId="0" xfId="204"/>
    <xf numFmtId="0" fontId="3" fillId="0" borderId="0" xfId="205" applyBorder="1"/>
    <xf numFmtId="0" fontId="46" fillId="0" borderId="22" xfId="204" applyFont="1" applyBorder="1"/>
    <xf numFmtId="0" fontId="46" fillId="0" borderId="0" xfId="204" applyFont="1" applyBorder="1"/>
    <xf numFmtId="0" fontId="47" fillId="0" borderId="0" xfId="204" applyFont="1"/>
    <xf numFmtId="4" fontId="48" fillId="21" borderId="12" xfId="218" applyNumberFormat="1" applyFont="1" applyFill="1" applyBorder="1" applyAlignment="1">
      <alignment horizontal="center" vertical="center" wrapText="1"/>
    </xf>
    <xf numFmtId="0" fontId="44" fillId="24" borderId="12" xfId="218" applyFont="1" applyFill="1" applyBorder="1" applyAlignment="1">
      <alignment horizontal="center" vertical="center" wrapText="1"/>
    </xf>
    <xf numFmtId="0" fontId="44" fillId="0" borderId="12" xfId="218" applyFont="1" applyFill="1" applyBorder="1" applyAlignment="1">
      <alignment horizontal="left" vertical="center" wrapText="1"/>
    </xf>
    <xf numFmtId="0" fontId="44" fillId="0" borderId="22" xfId="204" applyFont="1" applyBorder="1"/>
    <xf numFmtId="4" fontId="44" fillId="0" borderId="12" xfId="218" applyNumberFormat="1" applyFont="1" applyFill="1" applyBorder="1" applyAlignment="1">
      <alignment horizontal="center" vertical="center" wrapText="1"/>
    </xf>
    <xf numFmtId="4" fontId="44" fillId="24" borderId="46" xfId="218" applyNumberFormat="1" applyFont="1" applyFill="1" applyBorder="1" applyAlignment="1">
      <alignment horizontal="center" vertical="center" wrapText="1"/>
    </xf>
    <xf numFmtId="0" fontId="44" fillId="24" borderId="46" xfId="218" applyFont="1" applyFill="1" applyBorder="1" applyAlignment="1">
      <alignment horizontal="center" vertical="center" wrapText="1"/>
    </xf>
    <xf numFmtId="0" fontId="44" fillId="24" borderId="46" xfId="218" applyFont="1" applyFill="1" applyBorder="1" applyAlignment="1">
      <alignment horizontal="left" vertical="center" wrapText="1"/>
    </xf>
    <xf numFmtId="4" fontId="44" fillId="0" borderId="46" xfId="218" applyNumberFormat="1" applyFont="1" applyFill="1" applyBorder="1" applyAlignment="1">
      <alignment horizontal="center" vertical="center" wrapText="1"/>
    </xf>
    <xf numFmtId="0" fontId="44" fillId="0" borderId="46" xfId="218" applyFont="1" applyFill="1" applyBorder="1" applyAlignment="1">
      <alignment horizontal="left" vertical="center" wrapText="1"/>
    </xf>
    <xf numFmtId="0" fontId="44" fillId="0" borderId="46" xfId="218" applyFont="1" applyFill="1" applyBorder="1" applyAlignment="1">
      <alignment horizontal="center" vertical="center" wrapText="1"/>
    </xf>
    <xf numFmtId="0" fontId="3" fillId="24" borderId="46" xfId="218" applyFont="1" applyFill="1" applyBorder="1" applyAlignment="1">
      <alignment horizontal="left" vertical="center" wrapText="1"/>
    </xf>
    <xf numFmtId="0" fontId="3" fillId="0" borderId="46" xfId="218" applyFont="1" applyFill="1" applyBorder="1" applyAlignment="1">
      <alignment horizontal="left" vertical="center" wrapText="1"/>
    </xf>
    <xf numFmtId="4" fontId="44" fillId="36" borderId="12" xfId="218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0" fillId="37" borderId="54" xfId="325" applyFont="1" applyFill="1" applyBorder="1" applyAlignment="1" applyProtection="1">
      <alignment vertical="center"/>
    </xf>
    <xf numFmtId="0" fontId="40" fillId="37" borderId="0" xfId="325" applyFont="1" applyFill="1" applyBorder="1" applyAlignment="1" applyProtection="1">
      <alignment vertical="center"/>
    </xf>
    <xf numFmtId="0" fontId="40" fillId="37" borderId="58" xfId="325" applyFont="1" applyFill="1" applyBorder="1" applyAlignment="1" applyProtection="1">
      <alignment vertical="center"/>
    </xf>
    <xf numFmtId="0" fontId="42" fillId="0" borderId="54" xfId="325" applyFont="1" applyBorder="1" applyAlignment="1" applyProtection="1">
      <alignment horizontal="left" vertical="center"/>
    </xf>
    <xf numFmtId="0" fontId="42" fillId="0" borderId="0" xfId="325" applyFont="1" applyBorder="1" applyAlignment="1" applyProtection="1">
      <alignment horizontal="left" vertical="center"/>
    </xf>
    <xf numFmtId="0" fontId="42" fillId="0" borderId="58" xfId="325" applyFont="1" applyBorder="1" applyAlignment="1" applyProtection="1">
      <alignment vertical="center"/>
    </xf>
    <xf numFmtId="0" fontId="42" fillId="0" borderId="0" xfId="325" applyFont="1" applyBorder="1" applyAlignment="1" applyProtection="1">
      <alignment vertical="center"/>
    </xf>
    <xf numFmtId="0" fontId="3" fillId="0" borderId="0" xfId="325" applyBorder="1"/>
    <xf numFmtId="0" fontId="3" fillId="0" borderId="58" xfId="325" applyFont="1" applyBorder="1"/>
    <xf numFmtId="0" fontId="41" fillId="4" borderId="79" xfId="325" applyFont="1" applyFill="1" applyBorder="1" applyAlignment="1" applyProtection="1">
      <alignment vertical="center"/>
      <protection locked="0"/>
    </xf>
    <xf numFmtId="0" fontId="41" fillId="4" borderId="27" xfId="325" applyFont="1" applyFill="1" applyBorder="1" applyAlignment="1" applyProtection="1">
      <alignment vertical="center"/>
      <protection locked="0"/>
    </xf>
    <xf numFmtId="0" fontId="41" fillId="4" borderId="80" xfId="325" applyFont="1" applyFill="1" applyBorder="1" applyAlignment="1" applyProtection="1">
      <alignment vertical="center"/>
      <protection locked="0"/>
    </xf>
    <xf numFmtId="0" fontId="3" fillId="0" borderId="54" xfId="325" applyBorder="1"/>
    <xf numFmtId="0" fontId="41" fillId="20" borderId="81" xfId="325" applyFont="1" applyFill="1" applyBorder="1" applyAlignment="1" applyProtection="1">
      <alignment vertical="center"/>
    </xf>
    <xf numFmtId="0" fontId="42" fillId="20" borderId="79" xfId="325" applyFont="1" applyFill="1" applyBorder="1" applyAlignment="1" applyProtection="1">
      <alignment vertical="center"/>
    </xf>
    <xf numFmtId="0" fontId="42" fillId="4" borderId="82" xfId="325" applyFont="1" applyFill="1" applyBorder="1" applyAlignment="1" applyProtection="1">
      <alignment horizontal="left" vertical="center"/>
    </xf>
    <xf numFmtId="10" fontId="42" fillId="4" borderId="28" xfId="325" applyNumberFormat="1" applyFont="1" applyFill="1" applyBorder="1" applyAlignment="1" applyProtection="1">
      <alignment vertical="center"/>
    </xf>
    <xf numFmtId="0" fontId="42" fillId="4" borderId="29" xfId="325" applyFont="1" applyFill="1" applyBorder="1" applyAlignment="1" applyProtection="1">
      <alignment horizontal="center" vertical="center"/>
    </xf>
    <xf numFmtId="0" fontId="42" fillId="4" borderId="28" xfId="325" applyFont="1" applyFill="1" applyBorder="1" applyAlignment="1" applyProtection="1">
      <alignment horizontal="left" vertical="center"/>
    </xf>
    <xf numFmtId="10" fontId="42" fillId="22" borderId="83" xfId="326" applyNumberFormat="1" applyFont="1" applyFill="1" applyBorder="1" applyAlignment="1" applyProtection="1">
      <alignment vertical="center"/>
      <protection locked="0"/>
    </xf>
    <xf numFmtId="0" fontId="42" fillId="4" borderId="84" xfId="325" applyFont="1" applyFill="1" applyBorder="1" applyAlignment="1" applyProtection="1">
      <alignment horizontal="left" vertical="center"/>
    </xf>
    <xf numFmtId="10" fontId="42" fillId="4" borderId="30" xfId="325" applyNumberFormat="1" applyFont="1" applyFill="1" applyBorder="1" applyAlignment="1" applyProtection="1">
      <alignment vertical="center"/>
    </xf>
    <xf numFmtId="0" fontId="42" fillId="4" borderId="31" xfId="325" applyFont="1" applyFill="1" applyBorder="1" applyAlignment="1" applyProtection="1">
      <alignment horizontal="center" vertical="center"/>
    </xf>
    <xf numFmtId="0" fontId="42" fillId="4" borderId="30" xfId="325" applyFont="1" applyFill="1" applyBorder="1" applyAlignment="1" applyProtection="1">
      <alignment horizontal="left" vertical="center"/>
    </xf>
    <xf numFmtId="0" fontId="42" fillId="4" borderId="85" xfId="325" applyFont="1" applyFill="1" applyBorder="1" applyAlignment="1" applyProtection="1">
      <alignment horizontal="left" vertical="center"/>
    </xf>
    <xf numFmtId="0" fontId="42" fillId="4" borderId="32" xfId="325" applyFont="1" applyFill="1" applyBorder="1" applyAlignment="1" applyProtection="1">
      <alignment horizontal="left" vertical="center"/>
    </xf>
    <xf numFmtId="0" fontId="3" fillId="4" borderId="54" xfId="325" applyFont="1" applyFill="1" applyBorder="1"/>
    <xf numFmtId="10" fontId="42" fillId="4" borderId="33" xfId="325" applyNumberFormat="1" applyFont="1" applyFill="1" applyBorder="1" applyAlignment="1" applyProtection="1">
      <alignment vertical="center"/>
    </xf>
    <xf numFmtId="10" fontId="42" fillId="4" borderId="26" xfId="325" applyNumberFormat="1" applyFont="1" applyFill="1" applyBorder="1" applyAlignment="1" applyProtection="1">
      <alignment vertical="center"/>
    </xf>
    <xf numFmtId="0" fontId="3" fillId="4" borderId="34" xfId="325" applyFont="1" applyFill="1" applyBorder="1"/>
    <xf numFmtId="0" fontId="42" fillId="4" borderId="89" xfId="325" applyFont="1" applyFill="1" applyBorder="1" applyAlignment="1" applyProtection="1">
      <alignment horizontal="left" vertical="center"/>
    </xf>
    <xf numFmtId="10" fontId="3" fillId="4" borderId="55" xfId="326" applyNumberFormat="1" applyFont="1" applyFill="1" applyBorder="1" applyAlignment="1" applyProtection="1"/>
    <xf numFmtId="0" fontId="3" fillId="0" borderId="54" xfId="205" applyBorder="1"/>
    <xf numFmtId="0" fontId="3" fillId="0" borderId="58" xfId="205" applyBorder="1"/>
    <xf numFmtId="0" fontId="3" fillId="4" borderId="89" xfId="205" applyFont="1" applyFill="1" applyBorder="1" applyAlignment="1">
      <alignment horizontal="right" vertical="center"/>
    </xf>
    <xf numFmtId="171" fontId="55" fillId="28" borderId="52" xfId="287" applyNumberFormat="1" applyFont="1" applyFill="1" applyBorder="1" applyAlignment="1" applyProtection="1">
      <alignment horizontal="center" vertical="center"/>
    </xf>
    <xf numFmtId="169" fontId="55" fillId="28" borderId="52" xfId="287" applyFont="1" applyFill="1" applyBorder="1" applyAlignment="1" applyProtection="1">
      <alignment horizontal="center" vertical="center"/>
    </xf>
    <xf numFmtId="172" fontId="55" fillId="28" borderId="52" xfId="287" applyNumberFormat="1" applyFont="1" applyFill="1" applyBorder="1" applyAlignment="1" applyProtection="1">
      <alignment horizontal="center" vertical="center"/>
    </xf>
    <xf numFmtId="172" fontId="55" fillId="28" borderId="53" xfId="287" applyNumberFormat="1" applyFont="1" applyFill="1" applyBorder="1" applyAlignment="1" applyProtection="1">
      <alignment horizontal="center" vertical="center"/>
    </xf>
    <xf numFmtId="4" fontId="3" fillId="0" borderId="12" xfId="145" applyNumberFormat="1" applyFont="1" applyFill="1" applyBorder="1" applyAlignment="1" applyProtection="1">
      <alignment horizontal="right" vertical="center" wrapText="1"/>
    </xf>
    <xf numFmtId="175" fontId="44" fillId="0" borderId="47" xfId="218" applyNumberFormat="1" applyFont="1" applyFill="1" applyBorder="1" applyAlignment="1">
      <alignment horizontal="center" vertical="center" wrapText="1"/>
    </xf>
    <xf numFmtId="10" fontId="41" fillId="21" borderId="12" xfId="206" applyNumberFormat="1" applyFont="1" applyFill="1" applyBorder="1" applyAlignment="1">
      <alignment vertical="center" wrapText="1"/>
    </xf>
    <xf numFmtId="4" fontId="42" fillId="24" borderId="12" xfId="206" applyNumberFormat="1" applyFont="1" applyFill="1" applyBorder="1" applyAlignment="1">
      <alignment vertical="center" wrapText="1"/>
    </xf>
    <xf numFmtId="0" fontId="43" fillId="24" borderId="99" xfId="206" applyFont="1" applyFill="1" applyBorder="1" applyAlignment="1">
      <alignment wrapText="1"/>
    </xf>
    <xf numFmtId="0" fontId="43" fillId="24" borderId="58" xfId="206" applyFont="1" applyFill="1" applyBorder="1" applyAlignment="1">
      <alignment wrapText="1"/>
    </xf>
    <xf numFmtId="4" fontId="60" fillId="24" borderId="12" xfId="206" applyNumberFormat="1" applyFont="1" applyFill="1" applyBorder="1" applyAlignment="1">
      <alignment vertical="center" wrapText="1"/>
    </xf>
    <xf numFmtId="0" fontId="58" fillId="0" borderId="12" xfId="325" applyFont="1" applyFill="1" applyBorder="1" applyAlignment="1">
      <alignment vertical="center"/>
    </xf>
    <xf numFmtId="10" fontId="58" fillId="0" borderId="12" xfId="325" applyNumberFormat="1" applyFont="1" applyFill="1" applyBorder="1" applyAlignment="1">
      <alignment vertical="center"/>
    </xf>
    <xf numFmtId="0" fontId="43" fillId="8" borderId="107" xfId="206" applyFont="1" applyFill="1" applyBorder="1" applyAlignment="1">
      <alignment horizontal="center" vertical="center"/>
    </xf>
    <xf numFmtId="0" fontId="43" fillId="8" borderId="108" xfId="206" applyFont="1" applyFill="1" applyBorder="1" applyAlignment="1">
      <alignment horizontal="center" vertical="center"/>
    </xf>
    <xf numFmtId="4" fontId="43" fillId="8" borderId="108" xfId="206" applyNumberFormat="1" applyFont="1" applyFill="1" applyBorder="1" applyAlignment="1">
      <alignment horizontal="center" vertical="center" wrapText="1"/>
    </xf>
    <xf numFmtId="0" fontId="43" fillId="8" borderId="108" xfId="206" applyFont="1" applyFill="1" applyBorder="1" applyAlignment="1">
      <alignment horizontal="center" vertical="center" wrapText="1"/>
    </xf>
    <xf numFmtId="0" fontId="43" fillId="8" borderId="109" xfId="206" applyFont="1" applyFill="1" applyBorder="1" applyAlignment="1">
      <alignment horizontal="center" vertical="center"/>
    </xf>
    <xf numFmtId="0" fontId="43" fillId="8" borderId="80" xfId="206" applyFont="1" applyFill="1" applyBorder="1" applyAlignment="1">
      <alignment horizontal="center" vertical="center"/>
    </xf>
    <xf numFmtId="10" fontId="60" fillId="24" borderId="12" xfId="206" applyNumberFormat="1" applyFont="1" applyFill="1" applyBorder="1" applyAlignment="1">
      <alignment horizontal="right" vertical="top" wrapText="1"/>
    </xf>
    <xf numFmtId="10" fontId="41" fillId="24" borderId="12" xfId="206" applyNumberFormat="1" applyFont="1" applyFill="1" applyBorder="1" applyAlignment="1">
      <alignment vertical="top" wrapText="1"/>
    </xf>
    <xf numFmtId="4" fontId="42" fillId="0" borderId="12" xfId="1600" applyNumberFormat="1" applyFont="1" applyBorder="1" applyAlignment="1" applyProtection="1">
      <alignment vertical="center" wrapText="1"/>
    </xf>
    <xf numFmtId="9" fontId="3" fillId="24" borderId="111" xfId="980" applyFill="1" applyBorder="1" applyAlignment="1" applyProtection="1">
      <alignment vertical="top" wrapText="1"/>
    </xf>
    <xf numFmtId="10" fontId="41" fillId="24" borderId="111" xfId="206" applyNumberFormat="1" applyFont="1" applyFill="1" applyBorder="1" applyAlignment="1">
      <alignment vertical="top" wrapText="1"/>
    </xf>
    <xf numFmtId="4" fontId="41" fillId="24" borderId="46" xfId="206" applyNumberFormat="1" applyFont="1" applyFill="1" applyBorder="1" applyAlignment="1">
      <alignment vertical="top" wrapText="1"/>
    </xf>
    <xf numFmtId="4" fontId="41" fillId="24" borderId="110" xfId="206" applyNumberFormat="1" applyFont="1" applyFill="1" applyBorder="1" applyAlignment="1">
      <alignment vertical="top" wrapText="1"/>
    </xf>
    <xf numFmtId="4" fontId="43" fillId="24" borderId="12" xfId="206" applyNumberFormat="1" applyFont="1" applyFill="1" applyBorder="1" applyAlignment="1">
      <alignment wrapText="1"/>
    </xf>
    <xf numFmtId="0" fontId="43" fillId="24" borderId="54" xfId="206" applyFont="1" applyFill="1" applyBorder="1" applyAlignment="1">
      <alignment wrapText="1"/>
    </xf>
    <xf numFmtId="0" fontId="43" fillId="24" borderId="0" xfId="206" applyFont="1" applyFill="1" applyBorder="1" applyAlignment="1">
      <alignment wrapText="1"/>
    </xf>
    <xf numFmtId="4" fontId="43" fillId="24" borderId="0" xfId="206" applyNumberFormat="1" applyFont="1" applyFill="1" applyBorder="1" applyAlignment="1">
      <alignment wrapText="1"/>
    </xf>
    <xf numFmtId="0" fontId="43" fillId="24" borderId="61" xfId="206" applyFont="1" applyFill="1" applyBorder="1" applyAlignment="1">
      <alignment wrapText="1"/>
    </xf>
    <xf numFmtId="0" fontId="43" fillId="24" borderId="106" xfId="206" applyFont="1" applyFill="1" applyBorder="1" applyAlignment="1">
      <alignment wrapText="1"/>
    </xf>
    <xf numFmtId="0" fontId="28" fillId="0" borderId="35" xfId="145" applyNumberFormat="1" applyFont="1" applyFill="1" applyBorder="1" applyAlignment="1" applyProtection="1">
      <alignment horizontal="center"/>
    </xf>
    <xf numFmtId="0" fontId="28" fillId="0" borderId="20" xfId="145" applyNumberFormat="1" applyFont="1" applyFill="1" applyBorder="1" applyAlignment="1" applyProtection="1">
      <alignment horizontal="center" wrapText="1"/>
    </xf>
    <xf numFmtId="0" fontId="28" fillId="0" borderId="36" xfId="145" applyNumberFormat="1" applyFont="1" applyFill="1" applyBorder="1" applyAlignment="1" applyProtection="1">
      <alignment horizontal="center"/>
    </xf>
    <xf numFmtId="0" fontId="29" fillId="25" borderId="36" xfId="145" applyNumberFormat="1" applyFont="1" applyFill="1" applyBorder="1" applyAlignment="1" applyProtection="1">
      <alignment horizontal="center" vertical="center"/>
    </xf>
    <xf numFmtId="0" fontId="30" fillId="0" borderId="11" xfId="145" applyNumberFormat="1" applyFont="1" applyFill="1" applyBorder="1" applyAlignment="1" applyProtection="1">
      <alignment horizontal="left" vertical="center"/>
    </xf>
    <xf numFmtId="0" fontId="30" fillId="0" borderId="13" xfId="145" applyNumberFormat="1" applyFont="1" applyFill="1" applyBorder="1" applyAlignment="1" applyProtection="1">
      <alignment horizontal="left" vertical="center"/>
    </xf>
    <xf numFmtId="0" fontId="30" fillId="0" borderId="11" xfId="145" applyNumberFormat="1" applyFont="1" applyFill="1" applyBorder="1" applyAlignment="1" applyProtection="1">
      <alignment horizontal="left" vertical="center" wrapText="1"/>
    </xf>
    <xf numFmtId="170" fontId="30" fillId="0" borderId="13" xfId="145" applyNumberFormat="1" applyFont="1" applyFill="1" applyBorder="1" applyAlignment="1" applyProtection="1">
      <alignment horizontal="left" vertical="center"/>
    </xf>
    <xf numFmtId="0" fontId="43" fillId="0" borderId="25" xfId="145" applyNumberFormat="1" applyFont="1" applyFill="1" applyBorder="1" applyAlignment="1" applyProtection="1">
      <alignment horizontal="left" vertical="center" wrapText="1"/>
    </xf>
    <xf numFmtId="0" fontId="56" fillId="0" borderId="26" xfId="145" applyNumberFormat="1" applyFont="1" applyFill="1" applyBorder="1" applyAlignment="1" applyProtection="1">
      <alignment horizontal="left" vertical="center" wrapText="1"/>
    </xf>
    <xf numFmtId="0" fontId="56" fillId="0" borderId="40" xfId="145" applyNumberFormat="1" applyFont="1" applyFill="1" applyBorder="1" applyAlignment="1" applyProtection="1">
      <alignment horizontal="left" vertical="center" wrapText="1"/>
    </xf>
    <xf numFmtId="0" fontId="30" fillId="0" borderId="12" xfId="145" applyNumberFormat="1" applyFont="1" applyFill="1" applyBorder="1" applyAlignment="1" applyProtection="1">
      <alignment horizontal="center" vertical="center"/>
    </xf>
    <xf numFmtId="0" fontId="30" fillId="0" borderId="12" xfId="145" applyNumberFormat="1" applyFont="1" applyFill="1" applyBorder="1" applyAlignment="1" applyProtection="1">
      <alignment horizontal="left" vertical="center"/>
    </xf>
    <xf numFmtId="0" fontId="30" fillId="0" borderId="13" xfId="145" applyNumberFormat="1" applyFont="1" applyFill="1" applyBorder="1" applyAlignment="1" applyProtection="1">
      <alignment horizontal="center" vertical="center"/>
    </xf>
    <xf numFmtId="10" fontId="31" fillId="22" borderId="13" xfId="145" applyNumberFormat="1" applyFont="1" applyFill="1" applyBorder="1" applyAlignment="1" applyProtection="1">
      <alignment horizontal="center" vertical="center"/>
    </xf>
    <xf numFmtId="0" fontId="37" fillId="0" borderId="37" xfId="145" applyNumberFormat="1" applyFont="1" applyFill="1" applyBorder="1" applyAlignment="1" applyProtection="1">
      <alignment horizontal="center"/>
    </xf>
    <xf numFmtId="0" fontId="38" fillId="0" borderId="37" xfId="145" applyNumberFormat="1" applyFont="1" applyFill="1" applyBorder="1" applyAlignment="1" applyProtection="1">
      <alignment horizontal="right" vertical="center"/>
    </xf>
    <xf numFmtId="0" fontId="34" fillId="0" borderId="37" xfId="145" applyNumberFormat="1" applyFont="1" applyFill="1" applyBorder="1" applyAlignment="1" applyProtection="1">
      <alignment horizontal="center" vertical="center"/>
    </xf>
    <xf numFmtId="0" fontId="30" fillId="0" borderId="36" xfId="145" applyNumberFormat="1" applyFont="1" applyFill="1" applyBorder="1" applyAlignment="1" applyProtection="1">
      <alignment horizontal="center" vertical="center" wrapText="1"/>
    </xf>
    <xf numFmtId="0" fontId="32" fillId="22" borderId="11" xfId="145" applyNumberFormat="1" applyFont="1" applyFill="1" applyBorder="1" applyAlignment="1" applyProtection="1">
      <alignment horizontal="right" vertical="center" wrapText="1"/>
    </xf>
    <xf numFmtId="0" fontId="34" fillId="0" borderId="37" xfId="145" applyNumberFormat="1" applyFont="1" applyFill="1" applyBorder="1" applyAlignment="1" applyProtection="1">
      <alignment horizontal="center" vertical="center" wrapText="1"/>
    </xf>
    <xf numFmtId="0" fontId="35" fillId="0" borderId="37" xfId="145" applyNumberFormat="1" applyFont="1" applyFill="1" applyBorder="1" applyAlignment="1" applyProtection="1">
      <alignment horizontal="center" vertical="center" wrapText="1"/>
    </xf>
    <xf numFmtId="0" fontId="36" fillId="0" borderId="37" xfId="145" applyNumberFormat="1" applyFont="1" applyFill="1" applyBorder="1" applyAlignment="1" applyProtection="1">
      <alignment horizontal="center" vertical="center" wrapText="1"/>
    </xf>
    <xf numFmtId="0" fontId="32" fillId="0" borderId="14" xfId="145" applyNumberFormat="1" applyFont="1" applyFill="1" applyBorder="1" applyAlignment="1" applyProtection="1">
      <alignment horizontal="left" vertical="center" wrapText="1"/>
    </xf>
    <xf numFmtId="0" fontId="32" fillId="0" borderId="0" xfId="145" applyNumberFormat="1" applyFont="1" applyFill="1" applyBorder="1" applyAlignment="1" applyProtection="1">
      <alignment horizontal="left" vertical="center" wrapText="1"/>
    </xf>
    <xf numFmtId="0" fontId="43" fillId="28" borderId="51" xfId="204" applyFont="1" applyFill="1" applyBorder="1" applyAlignment="1">
      <alignment horizontal="left" vertical="center" wrapText="1"/>
    </xf>
    <xf numFmtId="0" fontId="45" fillId="28" borderId="101" xfId="204" applyFont="1" applyFill="1" applyBorder="1" applyAlignment="1">
      <alignment horizontal="left" vertical="center" wrapText="1"/>
    </xf>
    <xf numFmtId="0" fontId="48" fillId="28" borderId="44" xfId="204" applyFont="1" applyFill="1" applyBorder="1" applyAlignment="1">
      <alignment horizontal="center" vertical="center" wrapText="1"/>
    </xf>
    <xf numFmtId="0" fontId="48" fillId="28" borderId="45" xfId="204" applyFont="1" applyFill="1" applyBorder="1" applyAlignment="1">
      <alignment horizontal="center" vertical="center" wrapText="1"/>
    </xf>
    <xf numFmtId="0" fontId="43" fillId="0" borderId="71" xfId="204" applyFont="1" applyBorder="1" applyAlignment="1">
      <alignment horizontal="right" vertical="center"/>
    </xf>
    <xf numFmtId="0" fontId="43" fillId="0" borderId="72" xfId="204" applyFont="1" applyBorder="1" applyAlignment="1">
      <alignment horizontal="right" vertical="center"/>
    </xf>
    <xf numFmtId="0" fontId="43" fillId="0" borderId="98" xfId="204" applyFont="1" applyBorder="1" applyAlignment="1">
      <alignment horizontal="right" vertical="center"/>
    </xf>
    <xf numFmtId="0" fontId="43" fillId="28" borderId="97" xfId="204" applyFont="1" applyFill="1" applyBorder="1" applyAlignment="1">
      <alignment horizontal="left" vertical="center" wrapText="1"/>
    </xf>
    <xf numFmtId="0" fontId="43" fillId="28" borderId="100" xfId="204" applyFont="1" applyFill="1" applyBorder="1" applyAlignment="1">
      <alignment horizontal="left" vertical="center" wrapText="1"/>
    </xf>
    <xf numFmtId="0" fontId="48" fillId="31" borderId="47" xfId="204" applyFont="1" applyFill="1" applyBorder="1" applyAlignment="1">
      <alignment horizontal="right" vertical="center"/>
    </xf>
    <xf numFmtId="0" fontId="48" fillId="31" borderId="48" xfId="204" applyFont="1" applyFill="1" applyBorder="1" applyAlignment="1">
      <alignment horizontal="right" vertical="center"/>
    </xf>
    <xf numFmtId="0" fontId="48" fillId="31" borderId="49" xfId="204" applyFont="1" applyFill="1" applyBorder="1" applyAlignment="1">
      <alignment horizontal="right" vertical="center"/>
    </xf>
    <xf numFmtId="0" fontId="43" fillId="31" borderId="47" xfId="204" applyFont="1" applyFill="1" applyBorder="1" applyAlignment="1">
      <alignment horizontal="right" vertical="center"/>
    </xf>
    <xf numFmtId="0" fontId="43" fillId="31" borderId="48" xfId="204" applyFont="1" applyFill="1" applyBorder="1" applyAlignment="1">
      <alignment horizontal="right" vertical="center"/>
    </xf>
    <xf numFmtId="0" fontId="43" fillId="31" borderId="49" xfId="204" applyFont="1" applyFill="1" applyBorder="1" applyAlignment="1">
      <alignment horizontal="right" vertical="center"/>
    </xf>
    <xf numFmtId="0" fontId="3" fillId="0" borderId="0" xfId="205" applyFont="1" applyBorder="1" applyAlignment="1">
      <alignment horizontal="center"/>
    </xf>
    <xf numFmtId="0" fontId="43" fillId="4" borderId="90" xfId="205" applyFont="1" applyFill="1" applyBorder="1" applyAlignment="1">
      <alignment horizontal="center"/>
    </xf>
    <xf numFmtId="0" fontId="43" fillId="4" borderId="91" xfId="205" applyFont="1" applyFill="1" applyBorder="1" applyAlignment="1">
      <alignment horizontal="center"/>
    </xf>
    <xf numFmtId="0" fontId="43" fillId="4" borderId="92" xfId="205" applyFont="1" applyFill="1" applyBorder="1" applyAlignment="1">
      <alignment horizontal="center"/>
    </xf>
    <xf numFmtId="10" fontId="3" fillId="4" borderId="13" xfId="205" applyNumberFormat="1" applyFill="1" applyBorder="1" applyAlignment="1">
      <alignment horizontal="left" vertical="center"/>
    </xf>
    <xf numFmtId="10" fontId="3" fillId="4" borderId="55" xfId="205" applyNumberFormat="1" applyFill="1" applyBorder="1" applyAlignment="1">
      <alignment horizontal="left" vertical="center"/>
    </xf>
    <xf numFmtId="10" fontId="3" fillId="4" borderId="24" xfId="205" applyNumberFormat="1" applyFill="1" applyBorder="1" applyAlignment="1">
      <alignment horizontal="left" vertical="center"/>
    </xf>
    <xf numFmtId="10" fontId="3" fillId="4" borderId="57" xfId="205" applyNumberFormat="1" applyFill="1" applyBorder="1" applyAlignment="1">
      <alignment horizontal="left" vertical="center"/>
    </xf>
    <xf numFmtId="0" fontId="43" fillId="0" borderId="94" xfId="0" applyFont="1" applyBorder="1" applyAlignment="1">
      <alignment horizontal="left" vertical="center" wrapText="1"/>
    </xf>
    <xf numFmtId="0" fontId="43" fillId="0" borderId="95" xfId="0" applyFont="1" applyBorder="1" applyAlignment="1">
      <alignment horizontal="left" vertical="center" wrapText="1"/>
    </xf>
    <xf numFmtId="0" fontId="43" fillId="0" borderId="96" xfId="0" applyFont="1" applyBorder="1" applyAlignment="1">
      <alignment horizontal="left" vertical="center" wrapText="1"/>
    </xf>
    <xf numFmtId="0" fontId="3" fillId="0" borderId="13" xfId="325" applyFont="1" applyBorder="1" applyAlignment="1">
      <alignment horizontal="center"/>
    </xf>
    <xf numFmtId="0" fontId="3" fillId="0" borderId="55" xfId="325" applyFont="1" applyBorder="1" applyAlignment="1">
      <alignment horizontal="center"/>
    </xf>
    <xf numFmtId="10" fontId="42" fillId="4" borderId="26" xfId="325" applyNumberFormat="1" applyFont="1" applyFill="1" applyBorder="1" applyAlignment="1" applyProtection="1">
      <alignment horizontal="center" vertical="center"/>
    </xf>
    <xf numFmtId="10" fontId="42" fillId="4" borderId="40" xfId="325" applyNumberFormat="1" applyFont="1" applyFill="1" applyBorder="1" applyAlignment="1" applyProtection="1">
      <alignment horizontal="center" vertical="center"/>
    </xf>
    <xf numFmtId="10" fontId="42" fillId="20" borderId="77" xfId="325" applyNumberFormat="1" applyFont="1" applyFill="1" applyBorder="1" applyAlignment="1" applyProtection="1">
      <alignment horizontal="center" vertical="center"/>
    </xf>
    <xf numFmtId="10" fontId="42" fillId="20" borderId="36" xfId="325" applyNumberFormat="1" applyFont="1" applyFill="1" applyBorder="1" applyAlignment="1" applyProtection="1">
      <alignment horizontal="center" vertical="center"/>
    </xf>
    <xf numFmtId="10" fontId="42" fillId="20" borderId="78" xfId="325" applyNumberFormat="1" applyFont="1" applyFill="1" applyBorder="1" applyAlignment="1" applyProtection="1">
      <alignment horizontal="center" vertical="center"/>
    </xf>
    <xf numFmtId="0" fontId="3" fillId="0" borderId="41" xfId="325" applyBorder="1" applyAlignment="1">
      <alignment horizontal="center"/>
    </xf>
    <xf numFmtId="0" fontId="3" fillId="0" borderId="86" xfId="325" applyBorder="1" applyAlignment="1">
      <alignment horizontal="center"/>
    </xf>
    <xf numFmtId="0" fontId="3" fillId="0" borderId="42" xfId="325" applyBorder="1" applyAlignment="1">
      <alignment horizontal="center"/>
    </xf>
    <xf numFmtId="0" fontId="3" fillId="0" borderId="87" xfId="325" applyBorder="1" applyAlignment="1">
      <alignment horizontal="center"/>
    </xf>
    <xf numFmtId="0" fontId="3" fillId="0" borderId="43" xfId="325" applyBorder="1" applyAlignment="1">
      <alignment horizontal="center"/>
    </xf>
    <xf numFmtId="0" fontId="3" fillId="0" borderId="88" xfId="325" applyBorder="1" applyAlignment="1">
      <alignment horizontal="center"/>
    </xf>
    <xf numFmtId="0" fontId="3" fillId="22" borderId="12" xfId="325" applyFont="1" applyFill="1" applyBorder="1" applyAlignment="1">
      <alignment horizontal="center"/>
    </xf>
    <xf numFmtId="10" fontId="42" fillId="4" borderId="31" xfId="325" applyNumberFormat="1" applyFont="1" applyFill="1" applyBorder="1" applyAlignment="1" applyProtection="1">
      <alignment horizontal="center" vertical="center"/>
    </xf>
    <xf numFmtId="10" fontId="42" fillId="4" borderId="39" xfId="325" applyNumberFormat="1" applyFont="1" applyFill="1" applyBorder="1" applyAlignment="1" applyProtection="1">
      <alignment horizontal="center" vertical="center"/>
    </xf>
    <xf numFmtId="10" fontId="42" fillId="4" borderId="29" xfId="325" applyNumberFormat="1" applyFont="1" applyFill="1" applyBorder="1" applyAlignment="1" applyProtection="1">
      <alignment horizontal="center" vertical="center"/>
    </xf>
    <xf numFmtId="10" fontId="42" fillId="4" borderId="38" xfId="325" applyNumberFormat="1" applyFont="1" applyFill="1" applyBorder="1" applyAlignment="1" applyProtection="1">
      <alignment horizontal="center" vertical="center"/>
    </xf>
    <xf numFmtId="0" fontId="41" fillId="20" borderId="12" xfId="325" applyFont="1" applyFill="1" applyBorder="1" applyAlignment="1" applyProtection="1">
      <alignment horizontal="center" vertical="center" wrapText="1"/>
    </xf>
    <xf numFmtId="0" fontId="41" fillId="20" borderId="13" xfId="325" applyFont="1" applyFill="1" applyBorder="1" applyAlignment="1" applyProtection="1">
      <alignment horizontal="center" vertical="center"/>
    </xf>
    <xf numFmtId="0" fontId="41" fillId="20" borderId="55" xfId="325" applyFont="1" applyFill="1" applyBorder="1" applyAlignment="1" applyProtection="1">
      <alignment horizontal="center" vertical="center"/>
    </xf>
    <xf numFmtId="0" fontId="39" fillId="0" borderId="74" xfId="325" applyFont="1" applyBorder="1" applyAlignment="1">
      <alignment horizontal="center"/>
    </xf>
    <xf numFmtId="0" fontId="39" fillId="0" borderId="75" xfId="325" applyFont="1" applyBorder="1" applyAlignment="1">
      <alignment horizontal="center"/>
    </xf>
    <xf numFmtId="0" fontId="39" fillId="0" borderId="76" xfId="325" applyFont="1" applyBorder="1" applyAlignment="1">
      <alignment horizontal="center"/>
    </xf>
    <xf numFmtId="0" fontId="3" fillId="0" borderId="77" xfId="325" applyFont="1" applyBorder="1" applyAlignment="1">
      <alignment horizontal="center" vertical="center"/>
    </xf>
    <xf numFmtId="0" fontId="3" fillId="0" borderId="36" xfId="325" applyFont="1" applyBorder="1" applyAlignment="1">
      <alignment horizontal="center" vertical="center"/>
    </xf>
    <xf numFmtId="0" fontId="3" fillId="0" borderId="78" xfId="325" applyFont="1" applyBorder="1" applyAlignment="1">
      <alignment horizontal="center" vertical="center"/>
    </xf>
    <xf numFmtId="0" fontId="41" fillId="4" borderId="79" xfId="325" applyFont="1" applyFill="1" applyBorder="1" applyAlignment="1" applyProtection="1">
      <alignment horizontal="left" vertical="center"/>
      <protection locked="0"/>
    </xf>
    <xf numFmtId="0" fontId="41" fillId="4" borderId="27" xfId="325" applyFont="1" applyFill="1" applyBorder="1" applyAlignment="1" applyProtection="1">
      <alignment horizontal="left" vertical="center"/>
      <protection locked="0"/>
    </xf>
    <xf numFmtId="0" fontId="41" fillId="4" borderId="80" xfId="325" applyFont="1" applyFill="1" applyBorder="1" applyAlignment="1" applyProtection="1">
      <alignment horizontal="left" vertical="center"/>
      <protection locked="0"/>
    </xf>
    <xf numFmtId="0" fontId="3" fillId="4" borderId="77" xfId="325" applyFont="1" applyFill="1" applyBorder="1" applyAlignment="1">
      <alignment horizontal="center"/>
    </xf>
    <xf numFmtId="0" fontId="3" fillId="4" borderId="36" xfId="325" applyFont="1" applyFill="1" applyBorder="1" applyAlignment="1">
      <alignment horizontal="center"/>
    </xf>
    <xf numFmtId="0" fontId="3" fillId="4" borderId="78" xfId="325" applyFont="1" applyFill="1" applyBorder="1" applyAlignment="1">
      <alignment horizontal="center"/>
    </xf>
    <xf numFmtId="0" fontId="3" fillId="24" borderId="106" xfId="206" applyFont="1" applyFill="1" applyBorder="1" applyAlignment="1">
      <alignment horizontal="center" wrapText="1"/>
    </xf>
    <xf numFmtId="0" fontId="61" fillId="24" borderId="112" xfId="206" applyFont="1" applyFill="1" applyBorder="1" applyAlignment="1">
      <alignment horizontal="center" vertical="center" wrapText="1"/>
    </xf>
    <xf numFmtId="0" fontId="61" fillId="24" borderId="111" xfId="206" applyFont="1" applyFill="1" applyBorder="1" applyAlignment="1">
      <alignment horizontal="center" vertical="center" wrapText="1"/>
    </xf>
    <xf numFmtId="0" fontId="61" fillId="24" borderId="113" xfId="206" applyFont="1" applyFill="1" applyBorder="1" applyAlignment="1">
      <alignment horizontal="center" vertical="center" wrapText="1"/>
    </xf>
    <xf numFmtId="0" fontId="61" fillId="24" borderId="114" xfId="206" applyFont="1" applyFill="1" applyBorder="1" applyAlignment="1">
      <alignment horizontal="center" vertical="center" wrapText="1"/>
    </xf>
    <xf numFmtId="0" fontId="61" fillId="24" borderId="107" xfId="206" applyFont="1" applyFill="1" applyBorder="1" applyAlignment="1">
      <alignment horizontal="center" vertical="center" wrapText="1"/>
    </xf>
    <xf numFmtId="0" fontId="61" fillId="24" borderId="108" xfId="206" applyFont="1" applyFill="1" applyBorder="1" applyAlignment="1">
      <alignment horizontal="center" vertical="center" wrapText="1"/>
    </xf>
    <xf numFmtId="0" fontId="43" fillId="24" borderId="0" xfId="206" applyFont="1" applyFill="1" applyBorder="1" applyAlignment="1">
      <alignment horizontal="center" wrapText="1"/>
    </xf>
    <xf numFmtId="0" fontId="36" fillId="0" borderId="50" xfId="325" applyFont="1" applyBorder="1" applyAlignment="1">
      <alignment horizontal="center"/>
    </xf>
    <xf numFmtId="0" fontId="36" fillId="0" borderId="102" xfId="325" applyFont="1" applyBorder="1" applyAlignment="1">
      <alignment horizontal="center"/>
    </xf>
    <xf numFmtId="0" fontId="36" fillId="0" borderId="103" xfId="325" applyFont="1" applyBorder="1" applyAlignment="1">
      <alignment horizontal="center"/>
    </xf>
    <xf numFmtId="0" fontId="57" fillId="25" borderId="54" xfId="206" applyFont="1" applyFill="1" applyBorder="1" applyAlignment="1">
      <alignment horizontal="center" vertical="center"/>
    </xf>
    <xf numFmtId="0" fontId="57" fillId="25" borderId="0" xfId="206" applyFont="1" applyFill="1" applyBorder="1" applyAlignment="1">
      <alignment horizontal="center" vertical="center"/>
    </xf>
    <xf numFmtId="0" fontId="57" fillId="25" borderId="58" xfId="206" applyFont="1" applyFill="1" applyBorder="1" applyAlignment="1">
      <alignment horizontal="center" vertical="center"/>
    </xf>
    <xf numFmtId="0" fontId="58" fillId="0" borderId="89" xfId="325" applyFont="1" applyFill="1" applyBorder="1" applyAlignment="1">
      <alignment horizontal="left" vertical="center"/>
    </xf>
    <xf numFmtId="0" fontId="58" fillId="0" borderId="12" xfId="325" applyFont="1" applyFill="1" applyBorder="1" applyAlignment="1">
      <alignment horizontal="left" vertical="center"/>
    </xf>
    <xf numFmtId="14" fontId="58" fillId="0" borderId="12" xfId="325" applyNumberFormat="1" applyFont="1" applyFill="1" applyBorder="1" applyAlignment="1">
      <alignment horizontal="center" vertical="center"/>
    </xf>
    <xf numFmtId="0" fontId="36" fillId="0" borderId="115" xfId="325" applyFont="1" applyBorder="1" applyAlignment="1">
      <alignment horizontal="center"/>
    </xf>
    <xf numFmtId="0" fontId="36" fillId="0" borderId="116" xfId="325" applyFont="1" applyBorder="1" applyAlignment="1">
      <alignment horizontal="center"/>
    </xf>
    <xf numFmtId="0" fontId="58" fillId="0" borderId="12" xfId="325" applyFont="1" applyBorder="1" applyAlignment="1">
      <alignment horizontal="center" vertical="center"/>
    </xf>
    <xf numFmtId="0" fontId="58" fillId="0" borderId="12" xfId="325" applyFont="1" applyFill="1" applyBorder="1" applyAlignment="1">
      <alignment horizontal="center" vertical="center"/>
    </xf>
    <xf numFmtId="0" fontId="58" fillId="0" borderId="105" xfId="325" applyFont="1" applyFill="1" applyBorder="1" applyAlignment="1">
      <alignment horizontal="center" vertical="center"/>
    </xf>
    <xf numFmtId="0" fontId="58" fillId="0" borderId="104" xfId="325" applyFont="1" applyFill="1" applyBorder="1" applyAlignment="1">
      <alignment horizontal="left" vertical="center"/>
    </xf>
    <xf numFmtId="0" fontId="58" fillId="0" borderId="105" xfId="325" applyFont="1" applyFill="1" applyBorder="1" applyAlignment="1">
      <alignment horizontal="left" vertical="center"/>
    </xf>
    <xf numFmtId="0" fontId="58" fillId="0" borderId="105" xfId="325" applyFont="1" applyFill="1" applyBorder="1" applyAlignment="1">
      <alignment horizontal="left" vertical="center" wrapText="1"/>
    </xf>
    <xf numFmtId="49" fontId="59" fillId="24" borderId="89" xfId="206" applyNumberFormat="1" applyFont="1" applyFill="1" applyBorder="1" applyAlignment="1">
      <alignment horizontal="center" vertical="center" wrapText="1"/>
    </xf>
    <xf numFmtId="0" fontId="59" fillId="24" borderId="12" xfId="206" applyFont="1" applyFill="1" applyBorder="1" applyAlignment="1">
      <alignment vertical="center" wrapText="1"/>
    </xf>
  </cellXfs>
  <cellStyles count="2134">
    <cellStyle name="20% - Accent1" xfId="1"/>
    <cellStyle name="20% - Accent1 2" xfId="327"/>
    <cellStyle name="20% - Accent1 2 2" xfId="1601"/>
    <cellStyle name="20% - Accent1 3" xfId="1602"/>
    <cellStyle name="20% - Accent1_PASSEIO ORLA - SINAPI - R3" xfId="1603"/>
    <cellStyle name="20% - Accent2" xfId="2"/>
    <cellStyle name="20% - Accent2 2" xfId="328"/>
    <cellStyle name="20% - Accent2 2 2" xfId="1604"/>
    <cellStyle name="20% - Accent2 3" xfId="1605"/>
    <cellStyle name="20% - Accent2_PASSEIO ORLA - SINAPI - R3" xfId="1606"/>
    <cellStyle name="20% - Accent3" xfId="3"/>
    <cellStyle name="20% - Accent3 2" xfId="329"/>
    <cellStyle name="20% - Accent3 2 2" xfId="1607"/>
    <cellStyle name="20% - Accent3 3" xfId="1608"/>
    <cellStyle name="20% - Accent3_PASSEIO ORLA - SINAPI - R3" xfId="1609"/>
    <cellStyle name="20% - Accent4" xfId="4"/>
    <cellStyle name="20% - Accent4 2" xfId="330"/>
    <cellStyle name="20% - Accent4 2 2" xfId="1610"/>
    <cellStyle name="20% - Accent4 3" xfId="1611"/>
    <cellStyle name="20% - Accent4_PASSEIO ORLA - SINAPI - R3" xfId="1612"/>
    <cellStyle name="20% - Accent5" xfId="5"/>
    <cellStyle name="20% - Accent5 2" xfId="331"/>
    <cellStyle name="20% - Accent5 2 2" xfId="1613"/>
    <cellStyle name="20% - Accent5 3" xfId="1614"/>
    <cellStyle name="20% - Accent5_PASSEIO ORLA - SINAPI - R3" xfId="1615"/>
    <cellStyle name="20% - Accent6" xfId="6"/>
    <cellStyle name="20% - Accent6 2" xfId="332"/>
    <cellStyle name="20% - Accent6 2 2" xfId="1616"/>
    <cellStyle name="20% - Accent6 3" xfId="1617"/>
    <cellStyle name="20% - Accent6_PASSEIO ORLA - SINAPI - R3" xfId="1618"/>
    <cellStyle name="20% - Ênfase1 2" xfId="7"/>
    <cellStyle name="20% - Ênfase1 2 2" xfId="8"/>
    <cellStyle name="20% - Ênfase1 2 2 2" xfId="1619"/>
    <cellStyle name="20% - Ênfase1 2 3" xfId="1620"/>
    <cellStyle name="20% - Ênfase1 2_ATA PASSEIOS" xfId="9"/>
    <cellStyle name="20% - Ênfase1 3" xfId="10"/>
    <cellStyle name="20% - Ênfase1 3 2" xfId="11"/>
    <cellStyle name="20% - Ênfase1 3 2 2" xfId="1621"/>
    <cellStyle name="20% - Ênfase1 3 3" xfId="1622"/>
    <cellStyle name="20% - Ênfase1 3_ATA PASSEIOS" xfId="12"/>
    <cellStyle name="20% - Ênfase2 2" xfId="13"/>
    <cellStyle name="20% - Ênfase2 2 2" xfId="14"/>
    <cellStyle name="20% - Ênfase2 2 2 2" xfId="1623"/>
    <cellStyle name="20% - Ênfase2 2 3" xfId="1624"/>
    <cellStyle name="20% - Ênfase2 2_ATA PASSEIOS" xfId="15"/>
    <cellStyle name="20% - Ênfase2 3" xfId="16"/>
    <cellStyle name="20% - Ênfase2 3 2" xfId="17"/>
    <cellStyle name="20% - Ênfase2 3 2 2" xfId="1625"/>
    <cellStyle name="20% - Ênfase2 3 3" xfId="1626"/>
    <cellStyle name="20% - Ênfase2 3_ATA PASSEIOS" xfId="18"/>
    <cellStyle name="20% - Ênfase3 2" xfId="19"/>
    <cellStyle name="20% - Ênfase3 2 2" xfId="20"/>
    <cellStyle name="20% - Ênfase3 2 2 2" xfId="1627"/>
    <cellStyle name="20% - Ênfase3 2 3" xfId="1628"/>
    <cellStyle name="20% - Ênfase3 2_ATA PASSEIOS" xfId="21"/>
    <cellStyle name="20% - Ênfase3 3" xfId="22"/>
    <cellStyle name="20% - Ênfase3 3 2" xfId="23"/>
    <cellStyle name="20% - Ênfase3 3 2 2" xfId="1629"/>
    <cellStyle name="20% - Ênfase3 3 3" xfId="1630"/>
    <cellStyle name="20% - Ênfase3 3_ATA PASSEIOS" xfId="24"/>
    <cellStyle name="20% - Ênfase4 2" xfId="25"/>
    <cellStyle name="20% - Ênfase4 2 2" xfId="26"/>
    <cellStyle name="20% - Ênfase4 2 2 2" xfId="1631"/>
    <cellStyle name="20% - Ênfase4 2 3" xfId="1632"/>
    <cellStyle name="20% - Ênfase4 2_ATA PASSEIOS" xfId="27"/>
    <cellStyle name="20% - Ênfase4 3" xfId="28"/>
    <cellStyle name="20% - Ênfase4 3 2" xfId="29"/>
    <cellStyle name="20% - Ênfase4 3 2 2" xfId="1633"/>
    <cellStyle name="20% - Ênfase4 3 3" xfId="1634"/>
    <cellStyle name="20% - Ênfase4 3_ATA PASSEIOS" xfId="30"/>
    <cellStyle name="20% - Ênfase5 2" xfId="31"/>
    <cellStyle name="20% - Ênfase5 2 2" xfId="32"/>
    <cellStyle name="20% - Ênfase5 2 2 2" xfId="1635"/>
    <cellStyle name="20% - Ênfase5 2 3" xfId="1636"/>
    <cellStyle name="20% - Ênfase5 2_ATA PASSEIOS" xfId="33"/>
    <cellStyle name="20% - Ênfase5 3" xfId="34"/>
    <cellStyle name="20% - Ênfase5 3 2" xfId="35"/>
    <cellStyle name="20% - Ênfase5 3 2 2" xfId="1637"/>
    <cellStyle name="20% - Ênfase5 3 3" xfId="1638"/>
    <cellStyle name="20% - Ênfase5 3_ATA PASSEIOS" xfId="36"/>
    <cellStyle name="20% - Ênfase6 2" xfId="37"/>
    <cellStyle name="20% - Ênfase6 2 2" xfId="38"/>
    <cellStyle name="20% - Ênfase6 2 2 2" xfId="1639"/>
    <cellStyle name="20% - Ênfase6 2 3" xfId="1640"/>
    <cellStyle name="20% - Ênfase6 2_ATA PASSEIOS" xfId="39"/>
    <cellStyle name="20% - Ênfase6 3" xfId="40"/>
    <cellStyle name="20% - Ênfase6 3 2" xfId="41"/>
    <cellStyle name="20% - Ênfase6 3 2 2" xfId="1641"/>
    <cellStyle name="20% - Ênfase6 3 3" xfId="1642"/>
    <cellStyle name="20% - Ênfase6 3_ATA PASSEIOS" xfId="42"/>
    <cellStyle name="40% - Accent1" xfId="43"/>
    <cellStyle name="40% - Accent1 2" xfId="333"/>
    <cellStyle name="40% - Accent1 2 2" xfId="1643"/>
    <cellStyle name="40% - Accent1 3" xfId="1644"/>
    <cellStyle name="40% - Accent1_PASSEIO ORLA - SINAPI - R3" xfId="1645"/>
    <cellStyle name="40% - Accent2" xfId="44"/>
    <cellStyle name="40% - Accent2 2" xfId="334"/>
    <cellStyle name="40% - Accent2 2 2" xfId="1646"/>
    <cellStyle name="40% - Accent2 3" xfId="1647"/>
    <cellStyle name="40% - Accent2_PASSEIO ORLA - SINAPI - R3" xfId="1648"/>
    <cellStyle name="40% - Accent3" xfId="45"/>
    <cellStyle name="40% - Accent3 2" xfId="335"/>
    <cellStyle name="40% - Accent3 2 2" xfId="1649"/>
    <cellStyle name="40% - Accent3 3" xfId="1650"/>
    <cellStyle name="40% - Accent3_PASSEIO ORLA - SINAPI - R3" xfId="1651"/>
    <cellStyle name="40% - Accent4" xfId="46"/>
    <cellStyle name="40% - Accent4 2" xfId="336"/>
    <cellStyle name="40% - Accent4 2 2" xfId="1652"/>
    <cellStyle name="40% - Accent4 3" xfId="1653"/>
    <cellStyle name="40% - Accent4_PASSEIO ORLA - SINAPI - R3" xfId="1654"/>
    <cellStyle name="40% - Accent5" xfId="47"/>
    <cellStyle name="40% - Accent5 2" xfId="337"/>
    <cellStyle name="40% - Accent5 2 2" xfId="1655"/>
    <cellStyle name="40% - Accent5 3" xfId="1656"/>
    <cellStyle name="40% - Accent5_PASSEIO ORLA - SINAPI - R3" xfId="1657"/>
    <cellStyle name="40% - Accent6" xfId="48"/>
    <cellStyle name="40% - Accent6 2" xfId="338"/>
    <cellStyle name="40% - Accent6 2 2" xfId="1658"/>
    <cellStyle name="40% - Accent6 3" xfId="1659"/>
    <cellStyle name="40% - Accent6_PASSEIO ORLA - SINAPI - R3" xfId="1660"/>
    <cellStyle name="40% - Ênfase1 2" xfId="49"/>
    <cellStyle name="40% - Ênfase1 2 2" xfId="50"/>
    <cellStyle name="40% - Ênfase1 2 2 2" xfId="1661"/>
    <cellStyle name="40% - Ênfase1 2 3" xfId="1662"/>
    <cellStyle name="40% - Ênfase1 2_ATA PASSEIOS" xfId="51"/>
    <cellStyle name="40% - Ênfase1 3" xfId="52"/>
    <cellStyle name="40% - Ênfase1 3 2" xfId="53"/>
    <cellStyle name="40% - Ênfase1 3 2 2" xfId="1663"/>
    <cellStyle name="40% - Ênfase1 3 3" xfId="1664"/>
    <cellStyle name="40% - Ênfase1 3_ATA PASSEIOS" xfId="54"/>
    <cellStyle name="40% - Ênfase2 2" xfId="55"/>
    <cellStyle name="40% - Ênfase2 2 2" xfId="56"/>
    <cellStyle name="40% - Ênfase2 2 2 2" xfId="1665"/>
    <cellStyle name="40% - Ênfase2 2 3" xfId="1666"/>
    <cellStyle name="40% - Ênfase2 2_ATA PASSEIOS" xfId="57"/>
    <cellStyle name="40% - Ênfase2 3" xfId="58"/>
    <cellStyle name="40% - Ênfase2 3 2" xfId="59"/>
    <cellStyle name="40% - Ênfase2 3 2 2" xfId="1667"/>
    <cellStyle name="40% - Ênfase2 3 3" xfId="1668"/>
    <cellStyle name="40% - Ênfase2 3_ATA PASSEIOS" xfId="60"/>
    <cellStyle name="40% - Ênfase3 2" xfId="61"/>
    <cellStyle name="40% - Ênfase3 2 2" xfId="62"/>
    <cellStyle name="40% - Ênfase3 2 2 2" xfId="1669"/>
    <cellStyle name="40% - Ênfase3 2 3" xfId="1670"/>
    <cellStyle name="40% - Ênfase3 2_ATA PASSEIOS" xfId="63"/>
    <cellStyle name="40% - Ênfase3 3" xfId="64"/>
    <cellStyle name="40% - Ênfase3 3 2" xfId="65"/>
    <cellStyle name="40% - Ênfase3 3 2 2" xfId="1671"/>
    <cellStyle name="40% - Ênfase3 3 3" xfId="1672"/>
    <cellStyle name="40% - Ênfase3 3_ATA PASSEIOS" xfId="66"/>
    <cellStyle name="40% - Ênfase4 2" xfId="67"/>
    <cellStyle name="40% - Ênfase4 2 2" xfId="68"/>
    <cellStyle name="40% - Ênfase4 2 2 2" xfId="1673"/>
    <cellStyle name="40% - Ênfase4 2 3" xfId="1674"/>
    <cellStyle name="40% - Ênfase4 2_ATA PASSEIOS" xfId="69"/>
    <cellStyle name="40% - Ênfase4 3" xfId="70"/>
    <cellStyle name="40% - Ênfase4 3 2" xfId="71"/>
    <cellStyle name="40% - Ênfase4 3 2 2" xfId="1675"/>
    <cellStyle name="40% - Ênfase4 3 3" xfId="1676"/>
    <cellStyle name="40% - Ênfase4 3_ATA PASSEIOS" xfId="72"/>
    <cellStyle name="40% - Ênfase5 2" xfId="73"/>
    <cellStyle name="40% - Ênfase5 2 2" xfId="74"/>
    <cellStyle name="40% - Ênfase5 2 2 2" xfId="1677"/>
    <cellStyle name="40% - Ênfase5 2 3" xfId="1678"/>
    <cellStyle name="40% - Ênfase5 2_ATA PASSEIOS" xfId="75"/>
    <cellStyle name="40% - Ênfase5 3" xfId="76"/>
    <cellStyle name="40% - Ênfase5 3 2" xfId="77"/>
    <cellStyle name="40% - Ênfase5 3 2 2" xfId="1679"/>
    <cellStyle name="40% - Ênfase5 3 3" xfId="1680"/>
    <cellStyle name="40% - Ênfase5 3_ATA PASSEIOS" xfId="78"/>
    <cellStyle name="40% - Ênfase6 2" xfId="79"/>
    <cellStyle name="40% - Ênfase6 2 2" xfId="80"/>
    <cellStyle name="40% - Ênfase6 2 2 2" xfId="1681"/>
    <cellStyle name="40% - Ênfase6 2 3" xfId="1682"/>
    <cellStyle name="40% - Ênfase6 2_ATA PASSEIOS" xfId="81"/>
    <cellStyle name="40% - Ênfase6 3" xfId="82"/>
    <cellStyle name="40% - Ênfase6 3 2" xfId="83"/>
    <cellStyle name="40% - Ênfase6 3 2 2" xfId="1683"/>
    <cellStyle name="40% - Ênfase6 3 3" xfId="1684"/>
    <cellStyle name="40% - Ênfase6 3_ATA PASSEIOS" xfId="84"/>
    <cellStyle name="60% - Accent1" xfId="85"/>
    <cellStyle name="60% - Accent1 2" xfId="339"/>
    <cellStyle name="60% - Accent1 2 2" xfId="1685"/>
    <cellStyle name="60% - Accent1 3" xfId="1686"/>
    <cellStyle name="60% - Accent1_PLANILHA LICITAÇÃO - R5" xfId="1687"/>
    <cellStyle name="60% - Accent2" xfId="86"/>
    <cellStyle name="60% - Accent2 2" xfId="340"/>
    <cellStyle name="60% - Accent2 2 2" xfId="1688"/>
    <cellStyle name="60% - Accent2 3" xfId="1689"/>
    <cellStyle name="60% - Accent2_PLANILHA LICITAÇÃO - R5" xfId="1690"/>
    <cellStyle name="60% - Accent3" xfId="87"/>
    <cellStyle name="60% - Accent3 2" xfId="341"/>
    <cellStyle name="60% - Accent3 2 2" xfId="1691"/>
    <cellStyle name="60% - Accent3 3" xfId="1692"/>
    <cellStyle name="60% - Accent3_PLANILHA LICITAÇÃO - R5" xfId="1693"/>
    <cellStyle name="60% - Accent4" xfId="88"/>
    <cellStyle name="60% - Accent4 2" xfId="342"/>
    <cellStyle name="60% - Accent4 2 2" xfId="1694"/>
    <cellStyle name="60% - Accent4 3" xfId="1695"/>
    <cellStyle name="60% - Accent4_PLANILHA LICITAÇÃO - R5" xfId="1696"/>
    <cellStyle name="60% - Accent5" xfId="89"/>
    <cellStyle name="60% - Accent5 2" xfId="343"/>
    <cellStyle name="60% - Accent5 2 2" xfId="1697"/>
    <cellStyle name="60% - Accent5 3" xfId="1698"/>
    <cellStyle name="60% - Accent5_PLANILHA LICITAÇÃO - R5" xfId="1699"/>
    <cellStyle name="60% - Accent6" xfId="90"/>
    <cellStyle name="60% - Accent6 2" xfId="344"/>
    <cellStyle name="60% - Accent6 2 2" xfId="1700"/>
    <cellStyle name="60% - Accent6 3" xfId="1701"/>
    <cellStyle name="60% - Accent6_PLANILHA LICITAÇÃO - R5" xfId="1702"/>
    <cellStyle name="60% - Ênfase1 2" xfId="91"/>
    <cellStyle name="60% - Ênfase1 2 2" xfId="92"/>
    <cellStyle name="60% - Ênfase1 2 2 2" xfId="1703"/>
    <cellStyle name="60% - Ênfase1 2 3" xfId="1704"/>
    <cellStyle name="60% - Ênfase1 3" xfId="93"/>
    <cellStyle name="60% - Ênfase1 3 2" xfId="94"/>
    <cellStyle name="60% - Ênfase1 3 2 2" xfId="1705"/>
    <cellStyle name="60% - Ênfase1 3 3" xfId="1706"/>
    <cellStyle name="60% - Ênfase2 2" xfId="95"/>
    <cellStyle name="60% - Ênfase2 2 2" xfId="96"/>
    <cellStyle name="60% - Ênfase2 2 2 2" xfId="1707"/>
    <cellStyle name="60% - Ênfase2 2 3" xfId="1708"/>
    <cellStyle name="60% - Ênfase2 3" xfId="97"/>
    <cellStyle name="60% - Ênfase2 3 2" xfId="98"/>
    <cellStyle name="60% - Ênfase2 3 2 2" xfId="1709"/>
    <cellStyle name="60% - Ênfase2 3 3" xfId="1710"/>
    <cellStyle name="60% - Ênfase3 2" xfId="99"/>
    <cellStyle name="60% - Ênfase3 2 2" xfId="100"/>
    <cellStyle name="60% - Ênfase3 2 2 2" xfId="1711"/>
    <cellStyle name="60% - Ênfase3 2 3" xfId="1712"/>
    <cellStyle name="60% - Ênfase3 3" xfId="101"/>
    <cellStyle name="60% - Ênfase3 3 2" xfId="102"/>
    <cellStyle name="60% - Ênfase3 3 2 2" xfId="1713"/>
    <cellStyle name="60% - Ênfase3 3 3" xfId="1714"/>
    <cellStyle name="60% - Ênfase4 2" xfId="103"/>
    <cellStyle name="60% - Ênfase4 2 2" xfId="104"/>
    <cellStyle name="60% - Ênfase4 2 2 2" xfId="1715"/>
    <cellStyle name="60% - Ênfase4 2 3" xfId="1716"/>
    <cellStyle name="60% - Ênfase4 3" xfId="105"/>
    <cellStyle name="60% - Ênfase4 3 2" xfId="106"/>
    <cellStyle name="60% - Ênfase4 3 2 2" xfId="1717"/>
    <cellStyle name="60% - Ênfase4 3 3" xfId="1718"/>
    <cellStyle name="60% - Ênfase5 2" xfId="107"/>
    <cellStyle name="60% - Ênfase5 2 2" xfId="108"/>
    <cellStyle name="60% - Ênfase5 2 2 2" xfId="1719"/>
    <cellStyle name="60% - Ênfase5 2 3" xfId="1720"/>
    <cellStyle name="60% - Ênfase5 3" xfId="109"/>
    <cellStyle name="60% - Ênfase5 3 2" xfId="110"/>
    <cellStyle name="60% - Ênfase5 3 2 2" xfId="1721"/>
    <cellStyle name="60% - Ênfase5 3 3" xfId="1722"/>
    <cellStyle name="60% - Ênfase6 2" xfId="111"/>
    <cellStyle name="60% - Ênfase6 2 2" xfId="112"/>
    <cellStyle name="60% - Ênfase6 2 2 2" xfId="1723"/>
    <cellStyle name="60% - Ênfase6 2 3" xfId="1724"/>
    <cellStyle name="60% - Ênfase6 3" xfId="113"/>
    <cellStyle name="60% - Ênfase6 3 2" xfId="114"/>
    <cellStyle name="60% - Ênfase6 3 2 2" xfId="1725"/>
    <cellStyle name="60% - Ênfase6 3 3" xfId="1726"/>
    <cellStyle name="Accent 1 1" xfId="1727"/>
    <cellStyle name="Accent 1 2" xfId="1728"/>
    <cellStyle name="Accent 2 1" xfId="1729"/>
    <cellStyle name="Accent 2 2" xfId="1730"/>
    <cellStyle name="Accent 3 1" xfId="1731"/>
    <cellStyle name="Accent 3 2" xfId="1732"/>
    <cellStyle name="Accent 4" xfId="1733"/>
    <cellStyle name="Accent 5" xfId="1734"/>
    <cellStyle name="Accent_Planilha Orçamentária - Conde Dolabela - Gustavo Barbi" xfId="1735"/>
    <cellStyle name="Accent1" xfId="115"/>
    <cellStyle name="Accent1 2" xfId="345"/>
    <cellStyle name="Accent1 2 2" xfId="1736"/>
    <cellStyle name="Accent1 3" xfId="1737"/>
    <cellStyle name="Accent1_PLANILHA LICITAÇÃO - R5" xfId="1738"/>
    <cellStyle name="Accent2" xfId="116"/>
    <cellStyle name="Accent2 2" xfId="346"/>
    <cellStyle name="Accent2 2 2" xfId="1739"/>
    <cellStyle name="Accent2 3" xfId="1740"/>
    <cellStyle name="Accent2_PLANILHA LICITAÇÃO - R5" xfId="1741"/>
    <cellStyle name="Accent3" xfId="117"/>
    <cellStyle name="Accent3 2" xfId="347"/>
    <cellStyle name="Accent3 2 2" xfId="1742"/>
    <cellStyle name="Accent3 3" xfId="1743"/>
    <cellStyle name="Accent3_PLANILHA LICITAÇÃO - R5" xfId="1744"/>
    <cellStyle name="Accent4" xfId="118"/>
    <cellStyle name="Accent4 2" xfId="348"/>
    <cellStyle name="Accent4 2 2" xfId="1745"/>
    <cellStyle name="Accent4 3" xfId="1746"/>
    <cellStyle name="Accent4_PLANILHA LICITAÇÃO - R5" xfId="1747"/>
    <cellStyle name="Accent5" xfId="119"/>
    <cellStyle name="Accent5 2" xfId="349"/>
    <cellStyle name="Accent5 2 2" xfId="1748"/>
    <cellStyle name="Accent5 3" xfId="1749"/>
    <cellStyle name="Accent5_PLANILHA LICITAÇÃO - R5" xfId="1750"/>
    <cellStyle name="Accent6" xfId="120"/>
    <cellStyle name="Accent6 2" xfId="350"/>
    <cellStyle name="Accent6 2 2" xfId="1751"/>
    <cellStyle name="Accent6 3" xfId="1752"/>
    <cellStyle name="Accent6_PLANILHA LICITAÇÃO - R5" xfId="1753"/>
    <cellStyle name="Bad 1" xfId="121"/>
    <cellStyle name="Bad 2" xfId="351"/>
    <cellStyle name="Bad 2 2" xfId="1754"/>
    <cellStyle name="Bad 2 2 2" xfId="1755"/>
    <cellStyle name="Bad 3" xfId="1756"/>
    <cellStyle name="Bad 4" xfId="1757"/>
    <cellStyle name="Bad_PLANILHA LICITAÇÃO - R5" xfId="1758"/>
    <cellStyle name="Bom 2" xfId="122"/>
    <cellStyle name="Bom 2 2" xfId="123"/>
    <cellStyle name="Bom 2 2 2" xfId="1759"/>
    <cellStyle name="Bom 2 3" xfId="1760"/>
    <cellStyle name="Bom 3" xfId="124"/>
    <cellStyle name="Bom 3 2" xfId="125"/>
    <cellStyle name="Bom 3 2 2" xfId="1761"/>
    <cellStyle name="Bom 3 3" xfId="1762"/>
    <cellStyle name="Bom 4" xfId="1763"/>
    <cellStyle name="Calculation" xfId="126"/>
    <cellStyle name="Calculation 2" xfId="352"/>
    <cellStyle name="Calculation 2 2" xfId="1764"/>
    <cellStyle name="Calculation 3" xfId="1765"/>
    <cellStyle name="Calculation_PLANILHA LICITAÇÃO - R5" xfId="1766"/>
    <cellStyle name="Cálculo 2" xfId="127"/>
    <cellStyle name="Cálculo 2 2" xfId="128"/>
    <cellStyle name="Cálculo 2 2 2" xfId="1767"/>
    <cellStyle name="Cálculo 2 3" xfId="1768"/>
    <cellStyle name="Cálculo 2_PLANILHA CONSILL LICITAÇÃO" xfId="1769"/>
    <cellStyle name="Cálculo 3" xfId="129"/>
    <cellStyle name="Cálculo 3 2" xfId="130"/>
    <cellStyle name="Cálculo 3 2 2" xfId="1770"/>
    <cellStyle name="Cálculo 3 3" xfId="1771"/>
    <cellStyle name="Cálculo 3_PLANILHA CONSILL LICITAÇÃO" xfId="1772"/>
    <cellStyle name="Cancel" xfId="131"/>
    <cellStyle name="Cancel 2" xfId="132"/>
    <cellStyle name="Cancel 3" xfId="133"/>
    <cellStyle name="Célula de Verificação 2" xfId="134"/>
    <cellStyle name="Célula de Verificação 2 2" xfId="135"/>
    <cellStyle name="Célula de Verificação 2 2 2" xfId="1773"/>
    <cellStyle name="Célula de Verificação 2 3" xfId="1774"/>
    <cellStyle name="Célula de Verificação 2_PLANILHA CONSILL LICITAÇÃO" xfId="1775"/>
    <cellStyle name="Célula de Verificação 3" xfId="136"/>
    <cellStyle name="Célula de Verificação 3 2" xfId="137"/>
    <cellStyle name="Célula de Verificação 3 2 2" xfId="1776"/>
    <cellStyle name="Célula de Verificação 3 3" xfId="1777"/>
    <cellStyle name="Célula de Verificação 3_PLANILHA CONSILL LICITAÇÃO" xfId="1778"/>
    <cellStyle name="Célula Vinculada 2" xfId="138"/>
    <cellStyle name="Célula Vinculada 2 2" xfId="139"/>
    <cellStyle name="Célula Vinculada 2_PLANILHA CONSILL LICITAÇÃO" xfId="1779"/>
    <cellStyle name="Célula Vinculada 3" xfId="140"/>
    <cellStyle name="Célula Vinculada 3 2" xfId="141"/>
    <cellStyle name="Célula Vinculada 3_PLANILHA CONSILL LICITAÇÃO" xfId="1780"/>
    <cellStyle name="Check Cell" xfId="142"/>
    <cellStyle name="Check Cell 2" xfId="353"/>
    <cellStyle name="Check Cell 2 2" xfId="1781"/>
    <cellStyle name="Check Cell 3" xfId="1782"/>
    <cellStyle name="Check Cell_PLANILHA LICITAÇÃO - R5" xfId="1783"/>
    <cellStyle name="Data" xfId="143"/>
    <cellStyle name="Data 2" xfId="354"/>
    <cellStyle name="Data 2 2" xfId="1784"/>
    <cellStyle name="Data 2 2 2" xfId="1785"/>
    <cellStyle name="Data 3" xfId="355"/>
    <cellStyle name="Data 4" xfId="1786"/>
    <cellStyle name="Data_PLANILHA LICITAÇÃO - R5" xfId="1787"/>
    <cellStyle name="Default" xfId="144"/>
    <cellStyle name="Default 1" xfId="145"/>
    <cellStyle name="Default 1 2" xfId="290"/>
    <cellStyle name="Default 1 3" xfId="1503"/>
    <cellStyle name="Default 1 4" xfId="1599"/>
    <cellStyle name="Ênfase1 2" xfId="146"/>
    <cellStyle name="Ênfase1 2 2" xfId="147"/>
    <cellStyle name="Ênfase1 2 2 2" xfId="1788"/>
    <cellStyle name="Ênfase1 2 3" xfId="1789"/>
    <cellStyle name="Ênfase1 3" xfId="148"/>
    <cellStyle name="Ênfase1 3 2" xfId="149"/>
    <cellStyle name="Ênfase1 3 2 2" xfId="1790"/>
    <cellStyle name="Ênfase1 3 3" xfId="1791"/>
    <cellStyle name="Ênfase2 2" xfId="150"/>
    <cellStyle name="Ênfase2 2 2" xfId="151"/>
    <cellStyle name="Ênfase2 2 2 2" xfId="1792"/>
    <cellStyle name="Ênfase2 2 3" xfId="1793"/>
    <cellStyle name="Ênfase2 3" xfId="152"/>
    <cellStyle name="Ênfase2 3 2" xfId="153"/>
    <cellStyle name="Ênfase2 3 2 2" xfId="1794"/>
    <cellStyle name="Ênfase2 3 3" xfId="1795"/>
    <cellStyle name="Ênfase3 2" xfId="154"/>
    <cellStyle name="Ênfase3 2 2" xfId="155"/>
    <cellStyle name="Ênfase3 2 2 2" xfId="1796"/>
    <cellStyle name="Ênfase3 2 3" xfId="1797"/>
    <cellStyle name="Ênfase3 3" xfId="156"/>
    <cellStyle name="Ênfase3 3 2" xfId="157"/>
    <cellStyle name="Ênfase3 3 2 2" xfId="1798"/>
    <cellStyle name="Ênfase3 3 3" xfId="1799"/>
    <cellStyle name="Ênfase4 2" xfId="158"/>
    <cellStyle name="Ênfase4 2 2" xfId="159"/>
    <cellStyle name="Ênfase4 2 2 2" xfId="1800"/>
    <cellStyle name="Ênfase4 2 3" xfId="1801"/>
    <cellStyle name="Ênfase4 3" xfId="160"/>
    <cellStyle name="Ênfase4 3 2" xfId="161"/>
    <cellStyle name="Ênfase4 3 2 2" xfId="1802"/>
    <cellStyle name="Ênfase4 3 3" xfId="1803"/>
    <cellStyle name="Ênfase5 2" xfId="162"/>
    <cellStyle name="Ênfase5 2 2" xfId="163"/>
    <cellStyle name="Ênfase5 2 2 2" xfId="1804"/>
    <cellStyle name="Ênfase5 2 3" xfId="1805"/>
    <cellStyle name="Ênfase5 3" xfId="164"/>
    <cellStyle name="Ênfase5 3 2" xfId="165"/>
    <cellStyle name="Ênfase5 3 2 2" xfId="1806"/>
    <cellStyle name="Ênfase5 3 3" xfId="1807"/>
    <cellStyle name="Ênfase6 2" xfId="166"/>
    <cellStyle name="Ênfase6 2 2" xfId="167"/>
    <cellStyle name="Ênfase6 2 2 2" xfId="1808"/>
    <cellStyle name="Ênfase6 2 3" xfId="1809"/>
    <cellStyle name="Ênfase6 3" xfId="168"/>
    <cellStyle name="Ênfase6 3 2" xfId="169"/>
    <cellStyle name="Ênfase6 3 2 2" xfId="1810"/>
    <cellStyle name="Ênfase6 3 3" xfId="1811"/>
    <cellStyle name="Entrada 2" xfId="170"/>
    <cellStyle name="Entrada 2 2" xfId="171"/>
    <cellStyle name="Entrada 2 2 2" xfId="1812"/>
    <cellStyle name="Entrada 2 3" xfId="1813"/>
    <cellStyle name="Entrada 2_PLANILHA CONSILL LICITAÇÃO" xfId="1814"/>
    <cellStyle name="Entrada 3" xfId="172"/>
    <cellStyle name="Entrada 3 2" xfId="173"/>
    <cellStyle name="Entrada 3 2 2" xfId="1815"/>
    <cellStyle name="Entrada 3 3" xfId="1816"/>
    <cellStyle name="Entrada 3_PLANILHA CONSILL LICITAÇÃO" xfId="1817"/>
    <cellStyle name="Error 1" xfId="1818"/>
    <cellStyle name="Error 2" xfId="1819"/>
    <cellStyle name="Excel Built-in Normal 2" xfId="356"/>
    <cellStyle name="Excel Built-in Normal 3" xfId="357"/>
    <cellStyle name="Explanatory Text" xfId="174"/>
    <cellStyle name="Fixo" xfId="175"/>
    <cellStyle name="Fixo 2" xfId="358"/>
    <cellStyle name="Fixo 2 2" xfId="1820"/>
    <cellStyle name="Fixo 2 2 2" xfId="1821"/>
    <cellStyle name="Fixo 3" xfId="359"/>
    <cellStyle name="Fixo 4" xfId="1822"/>
    <cellStyle name="Fixo_PLANILHA LICITAÇÃO - R5" xfId="1823"/>
    <cellStyle name="Footnote 1" xfId="1824"/>
    <cellStyle name="Footnote 2" xfId="1825"/>
    <cellStyle name="Good 1" xfId="176"/>
    <cellStyle name="Good 2" xfId="360"/>
    <cellStyle name="Good 2 2" xfId="1826"/>
    <cellStyle name="Good 2 2 2" xfId="1827"/>
    <cellStyle name="Good 3" xfId="1828"/>
    <cellStyle name="Good_PLANILHA LICITAÇÃO - R5" xfId="1829"/>
    <cellStyle name="Heading 1 1" xfId="177"/>
    <cellStyle name="Heading 1 2" xfId="361"/>
    <cellStyle name="Heading 1 2 2" xfId="1830"/>
    <cellStyle name="Heading 1 3" xfId="1831"/>
    <cellStyle name="Heading 1_PLANILHA LICITAÇÃO - R5" xfId="1832"/>
    <cellStyle name="Heading 2 1" xfId="178"/>
    <cellStyle name="Heading 2 2" xfId="362"/>
    <cellStyle name="Heading 2 2 2" xfId="1833"/>
    <cellStyle name="Heading 2 3" xfId="1834"/>
    <cellStyle name="Heading 2_PLANILHA LICITAÇÃO - R5" xfId="1835"/>
    <cellStyle name="Heading 3" xfId="179"/>
    <cellStyle name="Heading 4" xfId="180"/>
    <cellStyle name="Heading 5" xfId="1836"/>
    <cellStyle name="Heading 6" xfId="1837"/>
    <cellStyle name="Heading_Planilha Orçamentária - Conde Dolabela - Gustavo Barbi" xfId="1838"/>
    <cellStyle name="Hiperlink 2" xfId="1839"/>
    <cellStyle name="Incorreto 2" xfId="181"/>
    <cellStyle name="Incorreto 2 2" xfId="182"/>
    <cellStyle name="Incorreto 2 2 2" xfId="1840"/>
    <cellStyle name="Incorreto 2 3" xfId="1841"/>
    <cellStyle name="Incorreto 3" xfId="183"/>
    <cellStyle name="Incorreto 3 2" xfId="184"/>
    <cellStyle name="Incorreto 3 2 2" xfId="1842"/>
    <cellStyle name="Incorreto 3 3" xfId="1843"/>
    <cellStyle name="Input" xfId="185"/>
    <cellStyle name="Input 2" xfId="363"/>
    <cellStyle name="Input 2 2" xfId="1844"/>
    <cellStyle name="Input 3" xfId="1845"/>
    <cellStyle name="Input_PLANILHA LICITAÇÃO - R5" xfId="1846"/>
    <cellStyle name="Linked Cell" xfId="186"/>
    <cellStyle name="Moeda 10" xfId="1847"/>
    <cellStyle name="Moeda 11" xfId="1848"/>
    <cellStyle name="Moeda 12" xfId="1849"/>
    <cellStyle name="Moeda 2" xfId="187"/>
    <cellStyle name="Moeda 2 10" xfId="364"/>
    <cellStyle name="Moeda 2 11" xfId="365"/>
    <cellStyle name="Moeda 2 12" xfId="366"/>
    <cellStyle name="Moeda 2 13" xfId="367"/>
    <cellStyle name="Moeda 2 14" xfId="368"/>
    <cellStyle name="Moeda 2 15" xfId="369"/>
    <cellStyle name="Moeda 2 16" xfId="370"/>
    <cellStyle name="Moeda 2 17" xfId="371"/>
    <cellStyle name="Moeda 2 18" xfId="372"/>
    <cellStyle name="Moeda 2 19" xfId="1504"/>
    <cellStyle name="Moeda 2 19 2" xfId="1850"/>
    <cellStyle name="Moeda 2 19 3" xfId="2100"/>
    <cellStyle name="Moeda 2 2" xfId="188"/>
    <cellStyle name="Moeda 2 2 10" xfId="373"/>
    <cellStyle name="Moeda 2 2 11" xfId="374"/>
    <cellStyle name="Moeda 2 2 12" xfId="375"/>
    <cellStyle name="Moeda 2 2 13" xfId="376"/>
    <cellStyle name="Moeda 2 2 14" xfId="377"/>
    <cellStyle name="Moeda 2 2 15" xfId="378"/>
    <cellStyle name="Moeda 2 2 16" xfId="379"/>
    <cellStyle name="Moeda 2 2 17" xfId="380"/>
    <cellStyle name="Moeda 2 2 18" xfId="381"/>
    <cellStyle name="Moeda 2 2 19" xfId="1505"/>
    <cellStyle name="Moeda 2 2 19 2" xfId="1851"/>
    <cellStyle name="Moeda 2 2 19 3" xfId="2101"/>
    <cellStyle name="Moeda 2 2 2" xfId="189"/>
    <cellStyle name="Moeda 2 2 2 2" xfId="382"/>
    <cellStyle name="Moeda 2 2 2 2 2" xfId="1852"/>
    <cellStyle name="Moeda 2 2 2 3" xfId="383"/>
    <cellStyle name="Moeda 2 2 2 4" xfId="1853"/>
    <cellStyle name="Moeda 2 2 20" xfId="1854"/>
    <cellStyle name="Moeda 2 2 21" xfId="1597"/>
    <cellStyle name="Moeda 2 2 3" xfId="292"/>
    <cellStyle name="Moeda 2 2 3 10" xfId="385"/>
    <cellStyle name="Moeda 2 2 3 11" xfId="386"/>
    <cellStyle name="Moeda 2 2 3 12" xfId="387"/>
    <cellStyle name="Moeda 2 2 3 13" xfId="388"/>
    <cellStyle name="Moeda 2 2 3 14" xfId="389"/>
    <cellStyle name="Moeda 2 2 3 15" xfId="390"/>
    <cellStyle name="Moeda 2 2 3 16" xfId="1855"/>
    <cellStyle name="Moeda 2 2 3 17" xfId="1856"/>
    <cellStyle name="Moeda 2 2 3 2" xfId="384"/>
    <cellStyle name="Moeda 2 2 3 2 2" xfId="391"/>
    <cellStyle name="Moeda 2 2 3 3" xfId="392"/>
    <cellStyle name="Moeda 2 2 3 4" xfId="393"/>
    <cellStyle name="Moeda 2 2 3 5" xfId="394"/>
    <cellStyle name="Moeda 2 2 3 6" xfId="395"/>
    <cellStyle name="Moeda 2 2 3 7" xfId="396"/>
    <cellStyle name="Moeda 2 2 3 8" xfId="397"/>
    <cellStyle name="Moeda 2 2 3 9" xfId="398"/>
    <cellStyle name="Moeda 2 2 4" xfId="399"/>
    <cellStyle name="Moeda 2 2 4 10" xfId="400"/>
    <cellStyle name="Moeda 2 2 4 11" xfId="401"/>
    <cellStyle name="Moeda 2 2 4 12" xfId="402"/>
    <cellStyle name="Moeda 2 2 4 13" xfId="403"/>
    <cellStyle name="Moeda 2 2 4 14" xfId="404"/>
    <cellStyle name="Moeda 2 2 4 15" xfId="405"/>
    <cellStyle name="Moeda 2 2 4 16" xfId="1857"/>
    <cellStyle name="Moeda 2 2 4 17" xfId="1858"/>
    <cellStyle name="Moeda 2 2 4 2" xfId="406"/>
    <cellStyle name="Moeda 2 2 4 3" xfId="407"/>
    <cellStyle name="Moeda 2 2 4 4" xfId="408"/>
    <cellStyle name="Moeda 2 2 4 5" xfId="409"/>
    <cellStyle name="Moeda 2 2 4 6" xfId="410"/>
    <cellStyle name="Moeda 2 2 4 7" xfId="411"/>
    <cellStyle name="Moeda 2 2 4 8" xfId="412"/>
    <cellStyle name="Moeda 2 2 4 9" xfId="413"/>
    <cellStyle name="Moeda 2 2 5" xfId="414"/>
    <cellStyle name="Moeda 2 2 6" xfId="415"/>
    <cellStyle name="Moeda 2 2 7" xfId="416"/>
    <cellStyle name="Moeda 2 2 8" xfId="417"/>
    <cellStyle name="Moeda 2 2 9" xfId="418"/>
    <cellStyle name="Moeda 2 20" xfId="1598"/>
    <cellStyle name="Moeda 2 3" xfId="190"/>
    <cellStyle name="Moeda 2 3 10" xfId="419"/>
    <cellStyle name="Moeda 2 3 11" xfId="420"/>
    <cellStyle name="Moeda 2 3 12" xfId="421"/>
    <cellStyle name="Moeda 2 3 13" xfId="422"/>
    <cellStyle name="Moeda 2 3 14" xfId="423"/>
    <cellStyle name="Moeda 2 3 15" xfId="424"/>
    <cellStyle name="Moeda 2 3 16" xfId="425"/>
    <cellStyle name="Moeda 2 3 17" xfId="1506"/>
    <cellStyle name="Moeda 2 3 17 2" xfId="1859"/>
    <cellStyle name="Moeda 2 3 17 3" xfId="2102"/>
    <cellStyle name="Moeda 2 3 18" xfId="1860"/>
    <cellStyle name="Moeda 2 3 19" xfId="1596"/>
    <cellStyle name="Moeda 2 3 2" xfId="293"/>
    <cellStyle name="Moeda 2 3 2 10" xfId="427"/>
    <cellStyle name="Moeda 2 3 2 11" xfId="428"/>
    <cellStyle name="Moeda 2 3 2 12" xfId="429"/>
    <cellStyle name="Moeda 2 3 2 13" xfId="430"/>
    <cellStyle name="Moeda 2 3 2 14" xfId="431"/>
    <cellStyle name="Moeda 2 3 2 15" xfId="432"/>
    <cellStyle name="Moeda 2 3 2 16" xfId="1861"/>
    <cellStyle name="Moeda 2 3 2 2" xfId="426"/>
    <cellStyle name="Moeda 2 3 2 2 2" xfId="433"/>
    <cellStyle name="Moeda 2 3 2 3" xfId="434"/>
    <cellStyle name="Moeda 2 3 2 4" xfId="435"/>
    <cellStyle name="Moeda 2 3 2 5" xfId="436"/>
    <cellStyle name="Moeda 2 3 2 6" xfId="437"/>
    <cellStyle name="Moeda 2 3 2 7" xfId="438"/>
    <cellStyle name="Moeda 2 3 2 8" xfId="439"/>
    <cellStyle name="Moeda 2 3 2 9" xfId="440"/>
    <cellStyle name="Moeda 2 3 3" xfId="441"/>
    <cellStyle name="Moeda 2 3 4" xfId="442"/>
    <cellStyle name="Moeda 2 3 5" xfId="443"/>
    <cellStyle name="Moeda 2 3 6" xfId="444"/>
    <cellStyle name="Moeda 2 3 7" xfId="445"/>
    <cellStyle name="Moeda 2 3 8" xfId="446"/>
    <cellStyle name="Moeda 2 3 9" xfId="447"/>
    <cellStyle name="Moeda 2 4" xfId="191"/>
    <cellStyle name="Moeda 2 4 10" xfId="448"/>
    <cellStyle name="Moeda 2 4 11" xfId="449"/>
    <cellStyle name="Moeda 2 4 12" xfId="450"/>
    <cellStyle name="Moeda 2 4 13" xfId="451"/>
    <cellStyle name="Moeda 2 4 14" xfId="452"/>
    <cellStyle name="Moeda 2 4 15" xfId="453"/>
    <cellStyle name="Moeda 2 4 16" xfId="1507"/>
    <cellStyle name="Moeda 2 4 16 2" xfId="1862"/>
    <cellStyle name="Moeda 2 4 16 3" xfId="2103"/>
    <cellStyle name="Moeda 2 4 17" xfId="1863"/>
    <cellStyle name="Moeda 2 4 18" xfId="1595"/>
    <cellStyle name="Moeda 2 4 2" xfId="294"/>
    <cellStyle name="Moeda 2 4 3" xfId="454"/>
    <cellStyle name="Moeda 2 4 4" xfId="455"/>
    <cellStyle name="Moeda 2 4 5" xfId="456"/>
    <cellStyle name="Moeda 2 4 6" xfId="457"/>
    <cellStyle name="Moeda 2 4 7" xfId="458"/>
    <cellStyle name="Moeda 2 4 8" xfId="459"/>
    <cellStyle name="Moeda 2 4 9" xfId="460"/>
    <cellStyle name="Moeda 2 5" xfId="291"/>
    <cellStyle name="Moeda 2 5 10" xfId="462"/>
    <cellStyle name="Moeda 2 5 11" xfId="463"/>
    <cellStyle name="Moeda 2 5 12" xfId="464"/>
    <cellStyle name="Moeda 2 5 13" xfId="465"/>
    <cellStyle name="Moeda 2 5 14" xfId="466"/>
    <cellStyle name="Moeda 2 5 15" xfId="467"/>
    <cellStyle name="Moeda 2 5 2" xfId="461"/>
    <cellStyle name="Moeda 2 5 2 2" xfId="468"/>
    <cellStyle name="Moeda 2 5 3" xfId="469"/>
    <cellStyle name="Moeda 2 5 4" xfId="470"/>
    <cellStyle name="Moeda 2 5 5" xfId="471"/>
    <cellStyle name="Moeda 2 5 6" xfId="472"/>
    <cellStyle name="Moeda 2 5 7" xfId="473"/>
    <cellStyle name="Moeda 2 5 8" xfId="474"/>
    <cellStyle name="Moeda 2 5 9" xfId="475"/>
    <cellStyle name="Moeda 2 6" xfId="476"/>
    <cellStyle name="Moeda 2 7" xfId="477"/>
    <cellStyle name="Moeda 2 8" xfId="478"/>
    <cellStyle name="Moeda 2 9" xfId="479"/>
    <cellStyle name="Moeda 2_ÁLVARO JOSÉ DOS SANTOS" xfId="1864"/>
    <cellStyle name="Moeda 3" xfId="192"/>
    <cellStyle name="Moeda 3 2" xfId="193"/>
    <cellStyle name="Moeda 3 2 10" xfId="480"/>
    <cellStyle name="Moeda 3 2 11" xfId="481"/>
    <cellStyle name="Moeda 3 2 12" xfId="482"/>
    <cellStyle name="Moeda 3 2 13" xfId="483"/>
    <cellStyle name="Moeda 3 2 14" xfId="484"/>
    <cellStyle name="Moeda 3 2 15" xfId="485"/>
    <cellStyle name="Moeda 3 2 16" xfId="1509"/>
    <cellStyle name="Moeda 3 2 16 2" xfId="1865"/>
    <cellStyle name="Moeda 3 2 16 3" xfId="2104"/>
    <cellStyle name="Moeda 3 2 17" xfId="1866"/>
    <cellStyle name="Moeda 3 2 18" xfId="1593"/>
    <cellStyle name="Moeda 3 2 2" xfId="296"/>
    <cellStyle name="Moeda 3 2 2 2" xfId="1867"/>
    <cellStyle name="Moeda 3 2 3" xfId="486"/>
    <cellStyle name="Moeda 3 2 4" xfId="487"/>
    <cellStyle name="Moeda 3 2 5" xfId="488"/>
    <cellStyle name="Moeda 3 2 6" xfId="489"/>
    <cellStyle name="Moeda 3 2 7" xfId="490"/>
    <cellStyle name="Moeda 3 2 8" xfId="491"/>
    <cellStyle name="Moeda 3 2 9" xfId="492"/>
    <cellStyle name="Moeda 3 3" xfId="295"/>
    <cellStyle name="Moeda 3 4" xfId="1508"/>
    <cellStyle name="Moeda 3 4 2" xfId="1868"/>
    <cellStyle name="Moeda 3 4 3" xfId="2105"/>
    <cellStyle name="Moeda 3 5" xfId="1869"/>
    <cellStyle name="Moeda 3 6" xfId="1594"/>
    <cellStyle name="Moeda 4" xfId="194"/>
    <cellStyle name="Moeda 4 10" xfId="493"/>
    <cellStyle name="Moeda 4 11" xfId="494"/>
    <cellStyle name="Moeda 4 12" xfId="495"/>
    <cellStyle name="Moeda 4 13" xfId="496"/>
    <cellStyle name="Moeda 4 14" xfId="497"/>
    <cellStyle name="Moeda 4 15" xfId="498"/>
    <cellStyle name="Moeda 4 16" xfId="499"/>
    <cellStyle name="Moeda 4 17" xfId="1510"/>
    <cellStyle name="Moeda 4 17 2" xfId="1870"/>
    <cellStyle name="Moeda 4 17 3" xfId="2106"/>
    <cellStyle name="Moeda 4 18" xfId="1871"/>
    <cellStyle name="Moeda 4 19" xfId="1550"/>
    <cellStyle name="Moeda 4 2" xfId="297"/>
    <cellStyle name="Moeda 4 2 10" xfId="501"/>
    <cellStyle name="Moeda 4 2 11" xfId="502"/>
    <cellStyle name="Moeda 4 2 12" xfId="503"/>
    <cellStyle name="Moeda 4 2 13" xfId="504"/>
    <cellStyle name="Moeda 4 2 14" xfId="505"/>
    <cellStyle name="Moeda 4 2 15" xfId="506"/>
    <cellStyle name="Moeda 4 2 16" xfId="1872"/>
    <cellStyle name="Moeda 4 2 17" xfId="1873"/>
    <cellStyle name="Moeda 4 2 2" xfId="500"/>
    <cellStyle name="Moeda 4 2 2 2" xfId="507"/>
    <cellStyle name="Moeda 4 2 3" xfId="508"/>
    <cellStyle name="Moeda 4 2 4" xfId="509"/>
    <cellStyle name="Moeda 4 2 5" xfId="510"/>
    <cellStyle name="Moeda 4 2 6" xfId="511"/>
    <cellStyle name="Moeda 4 2 7" xfId="512"/>
    <cellStyle name="Moeda 4 2 8" xfId="513"/>
    <cellStyle name="Moeda 4 2 9" xfId="514"/>
    <cellStyle name="Moeda 4 3" xfId="515"/>
    <cellStyle name="Moeda 4 4" xfId="516"/>
    <cellStyle name="Moeda 4 5" xfId="517"/>
    <cellStyle name="Moeda 4 6" xfId="518"/>
    <cellStyle name="Moeda 4 7" xfId="519"/>
    <cellStyle name="Moeda 4 8" xfId="520"/>
    <cellStyle name="Moeda 4 9" xfId="521"/>
    <cellStyle name="Moeda 5" xfId="195"/>
    <cellStyle name="Moeda 5 10" xfId="522"/>
    <cellStyle name="Moeda 5 11" xfId="523"/>
    <cellStyle name="Moeda 5 12" xfId="524"/>
    <cellStyle name="Moeda 5 13" xfId="525"/>
    <cellStyle name="Moeda 5 14" xfId="526"/>
    <cellStyle name="Moeda 5 15" xfId="527"/>
    <cellStyle name="Moeda 5 16" xfId="528"/>
    <cellStyle name="Moeda 5 17" xfId="1511"/>
    <cellStyle name="Moeda 5 17 2" xfId="1874"/>
    <cellStyle name="Moeda 5 17 3" xfId="2107"/>
    <cellStyle name="Moeda 5 18" xfId="1875"/>
    <cellStyle name="Moeda 5 19" xfId="1549"/>
    <cellStyle name="Moeda 5 2" xfId="298"/>
    <cellStyle name="Moeda 5 2 10" xfId="530"/>
    <cellStyle name="Moeda 5 2 11" xfId="531"/>
    <cellStyle name="Moeda 5 2 12" xfId="532"/>
    <cellStyle name="Moeda 5 2 13" xfId="533"/>
    <cellStyle name="Moeda 5 2 14" xfId="534"/>
    <cellStyle name="Moeda 5 2 15" xfId="535"/>
    <cellStyle name="Moeda 5 2 16" xfId="1876"/>
    <cellStyle name="Moeda 5 2 17" xfId="1877"/>
    <cellStyle name="Moeda 5 2 2" xfId="529"/>
    <cellStyle name="Moeda 5 2 2 2" xfId="536"/>
    <cellStyle name="Moeda 5 2 3" xfId="537"/>
    <cellStyle name="Moeda 5 2 4" xfId="538"/>
    <cellStyle name="Moeda 5 2 5" xfId="539"/>
    <cellStyle name="Moeda 5 2 6" xfId="540"/>
    <cellStyle name="Moeda 5 2 7" xfId="541"/>
    <cellStyle name="Moeda 5 2 8" xfId="542"/>
    <cellStyle name="Moeda 5 2 9" xfId="543"/>
    <cellStyle name="Moeda 5 3" xfId="544"/>
    <cellStyle name="Moeda 5 4" xfId="545"/>
    <cellStyle name="Moeda 5 5" xfId="546"/>
    <cellStyle name="Moeda 5 6" xfId="547"/>
    <cellStyle name="Moeda 5 7" xfId="548"/>
    <cellStyle name="Moeda 5 8" xfId="549"/>
    <cellStyle name="Moeda 5 9" xfId="550"/>
    <cellStyle name="Moeda 6" xfId="196"/>
    <cellStyle name="Moeda 6 10" xfId="551"/>
    <cellStyle name="Moeda 6 11" xfId="552"/>
    <cellStyle name="Moeda 6 12" xfId="553"/>
    <cellStyle name="Moeda 6 13" xfId="554"/>
    <cellStyle name="Moeda 6 14" xfId="555"/>
    <cellStyle name="Moeda 6 15" xfId="556"/>
    <cellStyle name="Moeda 6 16" xfId="1512"/>
    <cellStyle name="Moeda 6 16 2" xfId="1878"/>
    <cellStyle name="Moeda 6 16 3" xfId="2108"/>
    <cellStyle name="Moeda 6 17" xfId="1879"/>
    <cellStyle name="Moeda 6 18" xfId="1548"/>
    <cellStyle name="Moeda 6 2" xfId="299"/>
    <cellStyle name="Moeda 6 2 2" xfId="1880"/>
    <cellStyle name="Moeda 6 3" xfId="557"/>
    <cellStyle name="Moeda 6 4" xfId="558"/>
    <cellStyle name="Moeda 6 5" xfId="559"/>
    <cellStyle name="Moeda 6 6" xfId="560"/>
    <cellStyle name="Moeda 6 7" xfId="561"/>
    <cellStyle name="Moeda 6 8" xfId="562"/>
    <cellStyle name="Moeda 6 9" xfId="563"/>
    <cellStyle name="Moeda 7" xfId="197"/>
    <cellStyle name="Moeda 7 10" xfId="564"/>
    <cellStyle name="Moeda 7 11" xfId="565"/>
    <cellStyle name="Moeda 7 12" xfId="566"/>
    <cellStyle name="Moeda 7 13" xfId="567"/>
    <cellStyle name="Moeda 7 14" xfId="568"/>
    <cellStyle name="Moeda 7 15" xfId="569"/>
    <cellStyle name="Moeda 7 16" xfId="1513"/>
    <cellStyle name="Moeda 7 16 2" xfId="1881"/>
    <cellStyle name="Moeda 7 16 3" xfId="2109"/>
    <cellStyle name="Moeda 7 17" xfId="1882"/>
    <cellStyle name="Moeda 7 18" xfId="1547"/>
    <cellStyle name="Moeda 7 2" xfId="300"/>
    <cellStyle name="Moeda 7 2 2" xfId="1883"/>
    <cellStyle name="Moeda 7 3" xfId="570"/>
    <cellStyle name="Moeda 7 4" xfId="571"/>
    <cellStyle name="Moeda 7 5" xfId="572"/>
    <cellStyle name="Moeda 7 6" xfId="573"/>
    <cellStyle name="Moeda 7 7" xfId="574"/>
    <cellStyle name="Moeda 7 8" xfId="575"/>
    <cellStyle name="Moeda 7 9" xfId="576"/>
    <cellStyle name="Moeda 8" xfId="577"/>
    <cellStyle name="Moeda 8 10" xfId="578"/>
    <cellStyle name="Moeda 8 11" xfId="579"/>
    <cellStyle name="Moeda 8 12" xfId="580"/>
    <cellStyle name="Moeda 8 13" xfId="581"/>
    <cellStyle name="Moeda 8 14" xfId="582"/>
    <cellStyle name="Moeda 8 15" xfId="583"/>
    <cellStyle name="Moeda 8 16" xfId="1884"/>
    <cellStyle name="Moeda 8 17" xfId="1885"/>
    <cellStyle name="Moeda 8 2" xfId="584"/>
    <cellStyle name="Moeda 8 3" xfId="585"/>
    <cellStyle name="Moeda 8 4" xfId="586"/>
    <cellStyle name="Moeda 8 5" xfId="587"/>
    <cellStyle name="Moeda 8 6" xfId="588"/>
    <cellStyle name="Moeda 8 7" xfId="589"/>
    <cellStyle name="Moeda 8 8" xfId="590"/>
    <cellStyle name="Moeda 8 9" xfId="591"/>
    <cellStyle name="Moeda 9" xfId="1886"/>
    <cellStyle name="Neutra 2" xfId="198"/>
    <cellStyle name="Neutra 2 2" xfId="199"/>
    <cellStyle name="Neutra 2 2 2" xfId="1887"/>
    <cellStyle name="Neutra 2 3" xfId="1888"/>
    <cellStyle name="Neutra 3" xfId="200"/>
    <cellStyle name="Neutra 3 2" xfId="201"/>
    <cellStyle name="Neutra 3 2 2" xfId="1889"/>
    <cellStyle name="Neutra 3 3" xfId="1890"/>
    <cellStyle name="Neutra 4" xfId="1891"/>
    <cellStyle name="Neutral 1" xfId="202"/>
    <cellStyle name="Neutral 2" xfId="592"/>
    <cellStyle name="Neutral 2 2" xfId="1892"/>
    <cellStyle name="Neutral 2 2 2" xfId="1893"/>
    <cellStyle name="Neutral 3" xfId="1894"/>
    <cellStyle name="Neutral_PLANILHA LICITAÇÃO - R5" xfId="1895"/>
    <cellStyle name="Neutro" xfId="593"/>
    <cellStyle name="Normal" xfId="0" builtinId="0"/>
    <cellStyle name="Normal 10" xfId="203"/>
    <cellStyle name="Normal 10 2" xfId="1896"/>
    <cellStyle name="Normal 10_ATA PASSEIOS" xfId="204"/>
    <cellStyle name="Normal 11" xfId="1897"/>
    <cellStyle name="Normal 11 2" xfId="1898"/>
    <cellStyle name="Normal 12" xfId="1899"/>
    <cellStyle name="Normal 12 2" xfId="1900"/>
    <cellStyle name="Normal 12 3" xfId="1901"/>
    <cellStyle name="Normal 13" xfId="1902"/>
    <cellStyle name="Normal 14" xfId="1903"/>
    <cellStyle name="Normal 141" xfId="325"/>
    <cellStyle name="Normal 142" xfId="594"/>
    <cellStyle name="Normal 147" xfId="595"/>
    <cellStyle name="Normal 15" xfId="1904"/>
    <cellStyle name="Normal 152" xfId="596"/>
    <cellStyle name="Normal 153" xfId="597"/>
    <cellStyle name="Normal 155" xfId="598"/>
    <cellStyle name="Normal 156" xfId="599"/>
    <cellStyle name="Normal 158" xfId="600"/>
    <cellStyle name="Normal 159" xfId="601"/>
    <cellStyle name="Normal 16" xfId="1905"/>
    <cellStyle name="Normal 160" xfId="602"/>
    <cellStyle name="Normal 161" xfId="603"/>
    <cellStyle name="Normal 165" xfId="604"/>
    <cellStyle name="Normal 166" xfId="605"/>
    <cellStyle name="Normal 17" xfId="1906"/>
    <cellStyle name="Normal 173" xfId="606"/>
    <cellStyle name="Normal 18" xfId="1907"/>
    <cellStyle name="Normal 2" xfId="205"/>
    <cellStyle name="Normal 2 10" xfId="607"/>
    <cellStyle name="Normal 2 11" xfId="608"/>
    <cellStyle name="Normal 2 12" xfId="609"/>
    <cellStyle name="Normal 2 13" xfId="610"/>
    <cellStyle name="Normal 2 14" xfId="611"/>
    <cellStyle name="Normal 2 15" xfId="612"/>
    <cellStyle name="Normal 2 16" xfId="613"/>
    <cellStyle name="Normal 2 17" xfId="614"/>
    <cellStyle name="Normal 2 18" xfId="615"/>
    <cellStyle name="Normal 2 19" xfId="1908"/>
    <cellStyle name="Normal 2 2" xfId="206"/>
    <cellStyle name="Normal 2 2 2" xfId="207"/>
    <cellStyle name="Normal 2 2 3" xfId="616"/>
    <cellStyle name="Normal 2 2 3 2" xfId="1909"/>
    <cellStyle name="Normal 2 2 4" xfId="1910"/>
    <cellStyle name="Normal 2 2 5" xfId="1911"/>
    <cellStyle name="Normal 2 20" xfId="1912"/>
    <cellStyle name="Normal 2 3" xfId="617"/>
    <cellStyle name="Normal 2 3 2" xfId="1913"/>
    <cellStyle name="Normal 2 4" xfId="618"/>
    <cellStyle name="Normal 2 4 2" xfId="1914"/>
    <cellStyle name="Normal 2 5" xfId="619"/>
    <cellStyle name="Normal 2 5 10" xfId="620"/>
    <cellStyle name="Normal 2 5 11" xfId="621"/>
    <cellStyle name="Normal 2 5 12" xfId="622"/>
    <cellStyle name="Normal 2 5 13" xfId="623"/>
    <cellStyle name="Normal 2 5 14" xfId="624"/>
    <cellStyle name="Normal 2 5 15" xfId="625"/>
    <cellStyle name="Normal 2 5 2" xfId="626"/>
    <cellStyle name="Normal 2 5 3" xfId="627"/>
    <cellStyle name="Normal 2 5 4" xfId="628"/>
    <cellStyle name="Normal 2 5 5" xfId="629"/>
    <cellStyle name="Normal 2 5 6" xfId="630"/>
    <cellStyle name="Normal 2 5 7" xfId="631"/>
    <cellStyle name="Normal 2 5 8" xfId="632"/>
    <cellStyle name="Normal 2 5 9" xfId="633"/>
    <cellStyle name="Normal 2 6" xfId="634"/>
    <cellStyle name="Normal 2 7" xfId="635"/>
    <cellStyle name="Normal 2 8" xfId="636"/>
    <cellStyle name="Normal 2 9" xfId="637"/>
    <cellStyle name="Normal 2_022-007-ORC-R2 - 19NOV2014" xfId="208"/>
    <cellStyle name="Normal 3" xfId="209"/>
    <cellStyle name="Normal 3 10" xfId="638"/>
    <cellStyle name="Normal 3 11" xfId="639"/>
    <cellStyle name="Normal 3 12" xfId="640"/>
    <cellStyle name="Normal 3 13" xfId="641"/>
    <cellStyle name="Normal 3 14" xfId="642"/>
    <cellStyle name="Normal 3 15" xfId="643"/>
    <cellStyle name="Normal 3 16" xfId="644"/>
    <cellStyle name="Normal 3 17" xfId="645"/>
    <cellStyle name="Normal 3 2" xfId="210"/>
    <cellStyle name="Normal 3 2 10" xfId="646"/>
    <cellStyle name="Normal 3 2 11" xfId="647"/>
    <cellStyle name="Normal 3 2 12" xfId="648"/>
    <cellStyle name="Normal 3 2 13" xfId="649"/>
    <cellStyle name="Normal 3 2 14" xfId="650"/>
    <cellStyle name="Normal 3 2 15" xfId="651"/>
    <cellStyle name="Normal 3 2 16" xfId="1915"/>
    <cellStyle name="Normal 3 2 2" xfId="652"/>
    <cellStyle name="Normal 3 2 3" xfId="653"/>
    <cellStyle name="Normal 3 2 4" xfId="654"/>
    <cellStyle name="Normal 3 2 5" xfId="655"/>
    <cellStyle name="Normal 3 2 6" xfId="656"/>
    <cellStyle name="Normal 3 2 7" xfId="657"/>
    <cellStyle name="Normal 3 2 8" xfId="658"/>
    <cellStyle name="Normal 3 2 9" xfId="659"/>
    <cellStyle name="Normal 3 3" xfId="660"/>
    <cellStyle name="Normal 3 3 2" xfId="661"/>
    <cellStyle name="Normal 3 4" xfId="662"/>
    <cellStyle name="Normal 3 5" xfId="663"/>
    <cellStyle name="Normal 3 6" xfId="664"/>
    <cellStyle name="Normal 3 7" xfId="665"/>
    <cellStyle name="Normal 3 8" xfId="666"/>
    <cellStyle name="Normal 3 9" xfId="667"/>
    <cellStyle name="Normal 3_ASCAMARE 01-2016 -terraplanagem - 22.05.17" xfId="211"/>
    <cellStyle name="Normal 4" xfId="212"/>
    <cellStyle name="Normal 4 10" xfId="668"/>
    <cellStyle name="Normal 4 11" xfId="669"/>
    <cellStyle name="Normal 4 12" xfId="670"/>
    <cellStyle name="Normal 4 13" xfId="671"/>
    <cellStyle name="Normal 4 14" xfId="672"/>
    <cellStyle name="Normal 4 15" xfId="673"/>
    <cellStyle name="Normal 4 16" xfId="674"/>
    <cellStyle name="Normal 4 2" xfId="675"/>
    <cellStyle name="Normal 4 2 10" xfId="676"/>
    <cellStyle name="Normal 4 2 11" xfId="677"/>
    <cellStyle name="Normal 4 2 12" xfId="678"/>
    <cellStyle name="Normal 4 2 13" xfId="679"/>
    <cellStyle name="Normal 4 2 14" xfId="680"/>
    <cellStyle name="Normal 4 2 15" xfId="681"/>
    <cellStyle name="Normal 4 2 2" xfId="682"/>
    <cellStyle name="Normal 4 2 3" xfId="683"/>
    <cellStyle name="Normal 4 2 4" xfId="684"/>
    <cellStyle name="Normal 4 2 5" xfId="685"/>
    <cellStyle name="Normal 4 2 6" xfId="686"/>
    <cellStyle name="Normal 4 2 7" xfId="687"/>
    <cellStyle name="Normal 4 2 8" xfId="688"/>
    <cellStyle name="Normal 4 2 9" xfId="689"/>
    <cellStyle name="Normal 4 3" xfId="690"/>
    <cellStyle name="Normal 4 4" xfId="691"/>
    <cellStyle name="Normal 4 5" xfId="692"/>
    <cellStyle name="Normal 4 6" xfId="693"/>
    <cellStyle name="Normal 4 7" xfId="694"/>
    <cellStyle name="Normal 4 8" xfId="695"/>
    <cellStyle name="Normal 4 9" xfId="696"/>
    <cellStyle name="Normal 5" xfId="213"/>
    <cellStyle name="Normal 5 10" xfId="697"/>
    <cellStyle name="Normal 5 11" xfId="698"/>
    <cellStyle name="Normal 5 12" xfId="699"/>
    <cellStyle name="Normal 5 13" xfId="700"/>
    <cellStyle name="Normal 5 14" xfId="701"/>
    <cellStyle name="Normal 5 15" xfId="702"/>
    <cellStyle name="Normal 5 16" xfId="703"/>
    <cellStyle name="Normal 5 2" xfId="704"/>
    <cellStyle name="Normal 5 2 10" xfId="705"/>
    <cellStyle name="Normal 5 2 11" xfId="706"/>
    <cellStyle name="Normal 5 2 12" xfId="707"/>
    <cellStyle name="Normal 5 2 13" xfId="708"/>
    <cellStyle name="Normal 5 2 14" xfId="709"/>
    <cellStyle name="Normal 5 2 15" xfId="710"/>
    <cellStyle name="Normal 5 2 16" xfId="1916"/>
    <cellStyle name="Normal 5 2 2" xfId="711"/>
    <cellStyle name="Normal 5 2 3" xfId="712"/>
    <cellStyle name="Normal 5 2 4" xfId="713"/>
    <cellStyle name="Normal 5 2 5" xfId="714"/>
    <cellStyle name="Normal 5 2 6" xfId="715"/>
    <cellStyle name="Normal 5 2 7" xfId="716"/>
    <cellStyle name="Normal 5 2 8" xfId="717"/>
    <cellStyle name="Normal 5 2 9" xfId="718"/>
    <cellStyle name="Normal 5 3" xfId="719"/>
    <cellStyle name="Normal 5 4" xfId="720"/>
    <cellStyle name="Normal 5 5" xfId="721"/>
    <cellStyle name="Normal 5 6" xfId="722"/>
    <cellStyle name="Normal 5 7" xfId="723"/>
    <cellStyle name="Normal 5 8" xfId="724"/>
    <cellStyle name="Normal 5 9" xfId="725"/>
    <cellStyle name="Normal 6" xfId="214"/>
    <cellStyle name="Normal 6 2" xfId="1917"/>
    <cellStyle name="Normal 7" xfId="215"/>
    <cellStyle name="Normal 7 10" xfId="726"/>
    <cellStyle name="Normal 7 10 2" xfId="1555"/>
    <cellStyle name="Normal 7 10 3" xfId="1581"/>
    <cellStyle name="Normal 7 11" xfId="727"/>
    <cellStyle name="Normal 7 11 2" xfId="1556"/>
    <cellStyle name="Normal 7 11 3" xfId="1580"/>
    <cellStyle name="Normal 7 12" xfId="728"/>
    <cellStyle name="Normal 7 12 2" xfId="1557"/>
    <cellStyle name="Normal 7 12 3" xfId="1554"/>
    <cellStyle name="Normal 7 13" xfId="729"/>
    <cellStyle name="Normal 7 13 2" xfId="1558"/>
    <cellStyle name="Normal 7 13 3" xfId="1579"/>
    <cellStyle name="Normal 7 14" xfId="730"/>
    <cellStyle name="Normal 7 14 2" xfId="1559"/>
    <cellStyle name="Normal 7 14 3" xfId="1578"/>
    <cellStyle name="Normal 7 15" xfId="731"/>
    <cellStyle name="Normal 7 15 2" xfId="1560"/>
    <cellStyle name="Normal 7 15 3" xfId="1577"/>
    <cellStyle name="Normal 7 16" xfId="732"/>
    <cellStyle name="Normal 7 16 2" xfId="1561"/>
    <cellStyle name="Normal 7 16 3" xfId="1576"/>
    <cellStyle name="Normal 7 2" xfId="733"/>
    <cellStyle name="Normal 7 2 10" xfId="734"/>
    <cellStyle name="Normal 7 2 11" xfId="735"/>
    <cellStyle name="Normal 7 2 12" xfId="736"/>
    <cellStyle name="Normal 7 2 13" xfId="737"/>
    <cellStyle name="Normal 7 2 14" xfId="738"/>
    <cellStyle name="Normal 7 2 15" xfId="739"/>
    <cellStyle name="Normal 7 2 16" xfId="1562"/>
    <cellStyle name="Normal 7 2 17" xfId="1575"/>
    <cellStyle name="Normal 7 2 2" xfId="740"/>
    <cellStyle name="Normal 7 2 3" xfId="741"/>
    <cellStyle name="Normal 7 2 4" xfId="742"/>
    <cellStyle name="Normal 7 2 5" xfId="743"/>
    <cellStyle name="Normal 7 2 6" xfId="744"/>
    <cellStyle name="Normal 7 2 7" xfId="745"/>
    <cellStyle name="Normal 7 2 8" xfId="746"/>
    <cellStyle name="Normal 7 2 9" xfId="747"/>
    <cellStyle name="Normal 7 3" xfId="748"/>
    <cellStyle name="Normal 7 4" xfId="749"/>
    <cellStyle name="Normal 7 4 2" xfId="1563"/>
    <cellStyle name="Normal 7 4 3" xfId="1574"/>
    <cellStyle name="Normal 7 5" xfId="750"/>
    <cellStyle name="Normal 7 5 2" xfId="1564"/>
    <cellStyle name="Normal 7 5 3" xfId="1573"/>
    <cellStyle name="Normal 7 6" xfId="751"/>
    <cellStyle name="Normal 7 6 2" xfId="1565"/>
    <cellStyle name="Normal 7 6 3" xfId="1572"/>
    <cellStyle name="Normal 7 7" xfId="752"/>
    <cellStyle name="Normal 7 7 2" xfId="1566"/>
    <cellStyle name="Normal 7 7 3" xfId="1571"/>
    <cellStyle name="Normal 7 8" xfId="753"/>
    <cellStyle name="Normal 7 8 2" xfId="1567"/>
    <cellStyle name="Normal 7 8 3" xfId="1570"/>
    <cellStyle name="Normal 7 9" xfId="754"/>
    <cellStyle name="Normal 7 9 2" xfId="1568"/>
    <cellStyle name="Normal 7 9 3" xfId="1569"/>
    <cellStyle name="Normal 8" xfId="216"/>
    <cellStyle name="Normal 8 2" xfId="1918"/>
    <cellStyle name="Normal 85" xfId="755"/>
    <cellStyle name="Normal 87" xfId="756"/>
    <cellStyle name="Normal 9" xfId="217"/>
    <cellStyle name="Normal_Pesquisa no referencial 10 de maio de 2013" xfId="218"/>
    <cellStyle name="Normal_Planilha com Declaração RT" xfId="1600"/>
    <cellStyle name="Nota 2" xfId="219"/>
    <cellStyle name="Nota 2 10" xfId="757"/>
    <cellStyle name="Nota 2 11" xfId="758"/>
    <cellStyle name="Nota 2 12" xfId="759"/>
    <cellStyle name="Nota 2 13" xfId="760"/>
    <cellStyle name="Nota 2 14" xfId="761"/>
    <cellStyle name="Nota 2 15" xfId="762"/>
    <cellStyle name="Nota 2 16" xfId="763"/>
    <cellStyle name="Nota 2 17" xfId="764"/>
    <cellStyle name="Nota 2 18" xfId="1514"/>
    <cellStyle name="Nota 2 18 2" xfId="1919"/>
    <cellStyle name="Nota 2 18 3" xfId="2110"/>
    <cellStyle name="Nota 2 19" xfId="1920"/>
    <cellStyle name="Nota 2 2" xfId="220"/>
    <cellStyle name="Nota 2 2 10" xfId="765"/>
    <cellStyle name="Nota 2 2 11" xfId="766"/>
    <cellStyle name="Nota 2 2 12" xfId="767"/>
    <cellStyle name="Nota 2 2 13" xfId="768"/>
    <cellStyle name="Nota 2 2 14" xfId="769"/>
    <cellStyle name="Nota 2 2 15" xfId="770"/>
    <cellStyle name="Nota 2 2 16" xfId="1515"/>
    <cellStyle name="Nota 2 2 16 2" xfId="1921"/>
    <cellStyle name="Nota 2 2 16 3" xfId="2111"/>
    <cellStyle name="Nota 2 2 17" xfId="1922"/>
    <cellStyle name="Nota 2 2 18" xfId="1545"/>
    <cellStyle name="Nota 2 2 2" xfId="302"/>
    <cellStyle name="Nota 2 2 3" xfId="771"/>
    <cellStyle name="Nota 2 2 4" xfId="772"/>
    <cellStyle name="Nota 2 2 5" xfId="773"/>
    <cellStyle name="Nota 2 2 6" xfId="774"/>
    <cellStyle name="Nota 2 2 7" xfId="775"/>
    <cellStyle name="Nota 2 2 8" xfId="776"/>
    <cellStyle name="Nota 2 2 9" xfId="777"/>
    <cellStyle name="Nota 2 2_PLANILHA LICITAÇÃO - R5" xfId="1923"/>
    <cellStyle name="Nota 2 20" xfId="1546"/>
    <cellStyle name="Nota 2 3" xfId="301"/>
    <cellStyle name="Nota 2 3 10" xfId="779"/>
    <cellStyle name="Nota 2 3 11" xfId="780"/>
    <cellStyle name="Nota 2 3 12" xfId="781"/>
    <cellStyle name="Nota 2 3 13" xfId="782"/>
    <cellStyle name="Nota 2 3 14" xfId="783"/>
    <cellStyle name="Nota 2 3 15" xfId="784"/>
    <cellStyle name="Nota 2 3 16" xfId="1924"/>
    <cellStyle name="Nota 2 3 17" xfId="1925"/>
    <cellStyle name="Nota 2 3 2" xfId="778"/>
    <cellStyle name="Nota 2 3 2 2" xfId="785"/>
    <cellStyle name="Nota 2 3 3" xfId="786"/>
    <cellStyle name="Nota 2 3 4" xfId="787"/>
    <cellStyle name="Nota 2 3 5" xfId="788"/>
    <cellStyle name="Nota 2 3 6" xfId="789"/>
    <cellStyle name="Nota 2 3 7" xfId="790"/>
    <cellStyle name="Nota 2 3 8" xfId="791"/>
    <cellStyle name="Nota 2 3 9" xfId="792"/>
    <cellStyle name="Nota 2 4" xfId="793"/>
    <cellStyle name="Nota 2 5" xfId="794"/>
    <cellStyle name="Nota 2 6" xfId="795"/>
    <cellStyle name="Nota 2 7" xfId="796"/>
    <cellStyle name="Nota 2 8" xfId="797"/>
    <cellStyle name="Nota 2 9" xfId="798"/>
    <cellStyle name="Nota 2_ÁLVARO JOSÉ DOS SANTOS" xfId="1926"/>
    <cellStyle name="Nota 3" xfId="221"/>
    <cellStyle name="Nota 3 10" xfId="799"/>
    <cellStyle name="Nota 3 11" xfId="800"/>
    <cellStyle name="Nota 3 12" xfId="801"/>
    <cellStyle name="Nota 3 13" xfId="802"/>
    <cellStyle name="Nota 3 14" xfId="803"/>
    <cellStyle name="Nota 3 15" xfId="804"/>
    <cellStyle name="Nota 3 16" xfId="805"/>
    <cellStyle name="Nota 3 17" xfId="1516"/>
    <cellStyle name="Nota 3 17 2" xfId="1927"/>
    <cellStyle name="Nota 3 17 3" xfId="2112"/>
    <cellStyle name="Nota 3 18" xfId="1928"/>
    <cellStyle name="Nota 3 19" xfId="1544"/>
    <cellStyle name="Nota 3 2" xfId="222"/>
    <cellStyle name="Nota 3 2 10" xfId="806"/>
    <cellStyle name="Nota 3 2 11" xfId="807"/>
    <cellStyle name="Nota 3 2 12" xfId="808"/>
    <cellStyle name="Nota 3 2 13" xfId="809"/>
    <cellStyle name="Nota 3 2 14" xfId="810"/>
    <cellStyle name="Nota 3 2 15" xfId="811"/>
    <cellStyle name="Nota 3 2 16" xfId="1517"/>
    <cellStyle name="Nota 3 2 16 2" xfId="1929"/>
    <cellStyle name="Nota 3 2 16 3" xfId="2113"/>
    <cellStyle name="Nota 3 2 17" xfId="1930"/>
    <cellStyle name="Nota 3 2 18" xfId="1543"/>
    <cellStyle name="Nota 3 2 2" xfId="304"/>
    <cellStyle name="Nota 3 2 3" xfId="812"/>
    <cellStyle name="Nota 3 2 4" xfId="813"/>
    <cellStyle name="Nota 3 2 5" xfId="814"/>
    <cellStyle name="Nota 3 2 6" xfId="815"/>
    <cellStyle name="Nota 3 2 7" xfId="816"/>
    <cellStyle name="Nota 3 2 8" xfId="817"/>
    <cellStyle name="Nota 3 2 9" xfId="818"/>
    <cellStyle name="Nota 3 3" xfId="303"/>
    <cellStyle name="Nota 3 4" xfId="819"/>
    <cellStyle name="Nota 3 5" xfId="820"/>
    <cellStyle name="Nota 3 6" xfId="821"/>
    <cellStyle name="Nota 3 7" xfId="822"/>
    <cellStyle name="Nota 3 8" xfId="823"/>
    <cellStyle name="Nota 3 9" xfId="824"/>
    <cellStyle name="Nota 3_PLANILHA CONSILL LICITAÇÃO" xfId="1931"/>
    <cellStyle name="Nota 4" xfId="1932"/>
    <cellStyle name="Nota 5" xfId="1933"/>
    <cellStyle name="Nota 6" xfId="1934"/>
    <cellStyle name="Note 1" xfId="223"/>
    <cellStyle name="Note 1 2" xfId="305"/>
    <cellStyle name="Note 1 3" xfId="1518"/>
    <cellStyle name="Note 1 4" xfId="1542"/>
    <cellStyle name="Note 2" xfId="825"/>
    <cellStyle name="Note 2 10" xfId="826"/>
    <cellStyle name="Note 2 11" xfId="827"/>
    <cellStyle name="Note 2 12" xfId="828"/>
    <cellStyle name="Note 2 13" xfId="829"/>
    <cellStyle name="Note 2 14" xfId="830"/>
    <cellStyle name="Note 2 15" xfId="831"/>
    <cellStyle name="Note 2 16" xfId="1935"/>
    <cellStyle name="Note 2 17" xfId="1936"/>
    <cellStyle name="Note 2 2" xfId="832"/>
    <cellStyle name="Note 2 2 2" xfId="1937"/>
    <cellStyle name="Note 2 3" xfId="833"/>
    <cellStyle name="Note 2 4" xfId="834"/>
    <cellStyle name="Note 2 5" xfId="835"/>
    <cellStyle name="Note 2 6" xfId="836"/>
    <cellStyle name="Note 2 7" xfId="837"/>
    <cellStyle name="Note 2 8" xfId="838"/>
    <cellStyle name="Note 2 9" xfId="839"/>
    <cellStyle name="Note 3" xfId="1938"/>
    <cellStyle name="Note_PLANILHA LICITAÇÃO - R5" xfId="1939"/>
    <cellStyle name="Output" xfId="224"/>
    <cellStyle name="Output 2" xfId="840"/>
    <cellStyle name="Output 2 2" xfId="1940"/>
    <cellStyle name="Output 3" xfId="1941"/>
    <cellStyle name="Output_PLANILHA LICITAÇÃO - R5" xfId="1942"/>
    <cellStyle name="Percentual" xfId="225"/>
    <cellStyle name="Percentual 2" xfId="841"/>
    <cellStyle name="Percentual 2 2" xfId="1943"/>
    <cellStyle name="Percentual 2 2 2" xfId="1944"/>
    <cellStyle name="Percentual 3" xfId="842"/>
    <cellStyle name="Percentual 4" xfId="1945"/>
    <cellStyle name="Percentual_PLANILHA LICITAÇÃO - R5" xfId="1946"/>
    <cellStyle name="Ponto" xfId="226"/>
    <cellStyle name="Ponto 2" xfId="843"/>
    <cellStyle name="Ponto 2 2" xfId="1947"/>
    <cellStyle name="Ponto 2 2 2" xfId="1948"/>
    <cellStyle name="Ponto 3" xfId="844"/>
    <cellStyle name="Ponto 4" xfId="1949"/>
    <cellStyle name="Ponto_PLANILHA LICITAÇÃO - R5" xfId="1950"/>
    <cellStyle name="Porcentagem 10" xfId="227"/>
    <cellStyle name="Porcentagem 10 10" xfId="845"/>
    <cellStyle name="Porcentagem 10 11" xfId="846"/>
    <cellStyle name="Porcentagem 10 12" xfId="847"/>
    <cellStyle name="Porcentagem 10 13" xfId="848"/>
    <cellStyle name="Porcentagem 10 14" xfId="849"/>
    <cellStyle name="Porcentagem 10 15" xfId="850"/>
    <cellStyle name="Porcentagem 10 16" xfId="1519"/>
    <cellStyle name="Porcentagem 10 16 2" xfId="1951"/>
    <cellStyle name="Porcentagem 10 16 3" xfId="2114"/>
    <cellStyle name="Porcentagem 10 17" xfId="1952"/>
    <cellStyle name="Porcentagem 10 18" xfId="1541"/>
    <cellStyle name="Porcentagem 10 2" xfId="306"/>
    <cellStyle name="Porcentagem 10 2 2" xfId="326"/>
    <cellStyle name="Porcentagem 10 3" xfId="851"/>
    <cellStyle name="Porcentagem 10 4" xfId="852"/>
    <cellStyle name="Porcentagem 10 5" xfId="853"/>
    <cellStyle name="Porcentagem 10 6" xfId="854"/>
    <cellStyle name="Porcentagem 10 7" xfId="855"/>
    <cellStyle name="Porcentagem 10 8" xfId="856"/>
    <cellStyle name="Porcentagem 10 9" xfId="857"/>
    <cellStyle name="Porcentagem 2" xfId="228"/>
    <cellStyle name="Porcentagem 2 10" xfId="858"/>
    <cellStyle name="Porcentagem 2 11" xfId="859"/>
    <cellStyle name="Porcentagem 2 12" xfId="860"/>
    <cellStyle name="Porcentagem 2 13" xfId="861"/>
    <cellStyle name="Porcentagem 2 14" xfId="862"/>
    <cellStyle name="Porcentagem 2 15" xfId="863"/>
    <cellStyle name="Porcentagem 2 16" xfId="864"/>
    <cellStyle name="Porcentagem 2 17" xfId="865"/>
    <cellStyle name="Porcentagem 2 18" xfId="866"/>
    <cellStyle name="Porcentagem 2 19" xfId="1520"/>
    <cellStyle name="Porcentagem 2 19 2" xfId="1953"/>
    <cellStyle name="Porcentagem 2 19 3" xfId="2115"/>
    <cellStyle name="Porcentagem 2 2" xfId="229"/>
    <cellStyle name="Porcentagem 2 2 10" xfId="867"/>
    <cellStyle name="Porcentagem 2 2 11" xfId="868"/>
    <cellStyle name="Porcentagem 2 2 12" xfId="869"/>
    <cellStyle name="Porcentagem 2 2 13" xfId="870"/>
    <cellStyle name="Porcentagem 2 2 14" xfId="871"/>
    <cellStyle name="Porcentagem 2 2 15" xfId="872"/>
    <cellStyle name="Porcentagem 2 2 16" xfId="1521"/>
    <cellStyle name="Porcentagem 2 2 16 2" xfId="1954"/>
    <cellStyle name="Porcentagem 2 2 16 3" xfId="2116"/>
    <cellStyle name="Porcentagem 2 2 17" xfId="1955"/>
    <cellStyle name="Porcentagem 2 2 18" xfId="1539"/>
    <cellStyle name="Porcentagem 2 2 2" xfId="308"/>
    <cellStyle name="Porcentagem 2 2 3" xfId="873"/>
    <cellStyle name="Porcentagem 2 2 4" xfId="874"/>
    <cellStyle name="Porcentagem 2 2 5" xfId="875"/>
    <cellStyle name="Porcentagem 2 2 6" xfId="876"/>
    <cellStyle name="Porcentagem 2 2 7" xfId="877"/>
    <cellStyle name="Porcentagem 2 2 8" xfId="878"/>
    <cellStyle name="Porcentagem 2 2 9" xfId="879"/>
    <cellStyle name="Porcentagem 2 20" xfId="1956"/>
    <cellStyle name="Porcentagem 2 21" xfId="1540"/>
    <cellStyle name="Porcentagem 2 3" xfId="230"/>
    <cellStyle name="Porcentagem 2 3 10" xfId="880"/>
    <cellStyle name="Porcentagem 2 3 11" xfId="881"/>
    <cellStyle name="Porcentagem 2 3 12" xfId="882"/>
    <cellStyle name="Porcentagem 2 3 13" xfId="883"/>
    <cellStyle name="Porcentagem 2 3 14" xfId="884"/>
    <cellStyle name="Porcentagem 2 3 15" xfId="885"/>
    <cellStyle name="Porcentagem 2 3 16" xfId="1522"/>
    <cellStyle name="Porcentagem 2 3 16 2" xfId="1957"/>
    <cellStyle name="Porcentagem 2 3 16 3" xfId="2117"/>
    <cellStyle name="Porcentagem 2 3 17" xfId="1958"/>
    <cellStyle name="Porcentagem 2 3 18" xfId="1538"/>
    <cellStyle name="Porcentagem 2 3 2" xfId="309"/>
    <cellStyle name="Porcentagem 2 3 3" xfId="886"/>
    <cellStyle name="Porcentagem 2 3 4" xfId="887"/>
    <cellStyle name="Porcentagem 2 3 5" xfId="888"/>
    <cellStyle name="Porcentagem 2 3 6" xfId="889"/>
    <cellStyle name="Porcentagem 2 3 7" xfId="890"/>
    <cellStyle name="Porcentagem 2 3 8" xfId="891"/>
    <cellStyle name="Porcentagem 2 3 9" xfId="892"/>
    <cellStyle name="Porcentagem 2 4" xfId="307"/>
    <cellStyle name="Porcentagem 2 4 10" xfId="894"/>
    <cellStyle name="Porcentagem 2 4 11" xfId="895"/>
    <cellStyle name="Porcentagem 2 4 12" xfId="896"/>
    <cellStyle name="Porcentagem 2 4 13" xfId="897"/>
    <cellStyle name="Porcentagem 2 4 14" xfId="898"/>
    <cellStyle name="Porcentagem 2 4 15" xfId="899"/>
    <cellStyle name="Porcentagem 2 4 16" xfId="1959"/>
    <cellStyle name="Porcentagem 2 4 2" xfId="893"/>
    <cellStyle name="Porcentagem 2 4 2 2" xfId="900"/>
    <cellStyle name="Porcentagem 2 4 3" xfId="901"/>
    <cellStyle name="Porcentagem 2 4 4" xfId="902"/>
    <cellStyle name="Porcentagem 2 4 5" xfId="903"/>
    <cellStyle name="Porcentagem 2 4 6" xfId="904"/>
    <cellStyle name="Porcentagem 2 4 7" xfId="905"/>
    <cellStyle name="Porcentagem 2 4 8" xfId="906"/>
    <cellStyle name="Porcentagem 2 4 9" xfId="907"/>
    <cellStyle name="Porcentagem 2 5" xfId="908"/>
    <cellStyle name="Porcentagem 2 6" xfId="909"/>
    <cellStyle name="Porcentagem 2 7" xfId="910"/>
    <cellStyle name="Porcentagem 2 8" xfId="911"/>
    <cellStyle name="Porcentagem 2 9" xfId="912"/>
    <cellStyle name="Porcentagem 2_ÁLVARO JOSÉ DOS SANTOS" xfId="1960"/>
    <cellStyle name="Porcentagem 3" xfId="231"/>
    <cellStyle name="Porcentagem 3 10" xfId="913"/>
    <cellStyle name="Porcentagem 3 11" xfId="914"/>
    <cellStyle name="Porcentagem 3 12" xfId="915"/>
    <cellStyle name="Porcentagem 3 13" xfId="916"/>
    <cellStyle name="Porcentagem 3 14" xfId="917"/>
    <cellStyle name="Porcentagem 3 15" xfId="918"/>
    <cellStyle name="Porcentagem 3 16" xfId="1523"/>
    <cellStyle name="Porcentagem 3 16 2" xfId="1961"/>
    <cellStyle name="Porcentagem 3 16 3" xfId="2118"/>
    <cellStyle name="Porcentagem 3 17" xfId="1962"/>
    <cellStyle name="Porcentagem 3 18" xfId="1537"/>
    <cellStyle name="Porcentagem 3 2" xfId="310"/>
    <cellStyle name="Porcentagem 3 2 2" xfId="1963"/>
    <cellStyle name="Porcentagem 3 2 2 2" xfId="1964"/>
    <cellStyle name="Porcentagem 3 3" xfId="919"/>
    <cellStyle name="Porcentagem 3 3 2" xfId="1965"/>
    <cellStyle name="Porcentagem 3 4" xfId="920"/>
    <cellStyle name="Porcentagem 3 5" xfId="921"/>
    <cellStyle name="Porcentagem 3 6" xfId="922"/>
    <cellStyle name="Porcentagem 3 7" xfId="923"/>
    <cellStyle name="Porcentagem 3 8" xfId="924"/>
    <cellStyle name="Porcentagem 3 9" xfId="925"/>
    <cellStyle name="Porcentagem 4" xfId="232"/>
    <cellStyle name="Porcentagem 4 10" xfId="926"/>
    <cellStyle name="Porcentagem 4 11" xfId="927"/>
    <cellStyle name="Porcentagem 4 12" xfId="928"/>
    <cellStyle name="Porcentagem 4 13" xfId="929"/>
    <cellStyle name="Porcentagem 4 14" xfId="930"/>
    <cellStyle name="Porcentagem 4 15" xfId="931"/>
    <cellStyle name="Porcentagem 4 16" xfId="1524"/>
    <cellStyle name="Porcentagem 4 16 2" xfId="1966"/>
    <cellStyle name="Porcentagem 4 16 3" xfId="2119"/>
    <cellStyle name="Porcentagem 4 17" xfId="1967"/>
    <cellStyle name="Porcentagem 4 18" xfId="1536"/>
    <cellStyle name="Porcentagem 4 2" xfId="311"/>
    <cellStyle name="Porcentagem 4 2 2" xfId="1968"/>
    <cellStyle name="Porcentagem 4 3" xfId="932"/>
    <cellStyle name="Porcentagem 4 4" xfId="933"/>
    <cellStyle name="Porcentagem 4 5" xfId="934"/>
    <cellStyle name="Porcentagem 4 6" xfId="935"/>
    <cellStyle name="Porcentagem 4 7" xfId="936"/>
    <cellStyle name="Porcentagem 4 8" xfId="937"/>
    <cellStyle name="Porcentagem 4 9" xfId="938"/>
    <cellStyle name="Porcentagem 5" xfId="233"/>
    <cellStyle name="Porcentagem 5 10" xfId="939"/>
    <cellStyle name="Porcentagem 5 11" xfId="940"/>
    <cellStyle name="Porcentagem 5 12" xfId="941"/>
    <cellStyle name="Porcentagem 5 13" xfId="942"/>
    <cellStyle name="Porcentagem 5 14" xfId="943"/>
    <cellStyle name="Porcentagem 5 15" xfId="944"/>
    <cellStyle name="Porcentagem 5 16" xfId="945"/>
    <cellStyle name="Porcentagem 5 17" xfId="1525"/>
    <cellStyle name="Porcentagem 5 17 2" xfId="1969"/>
    <cellStyle name="Porcentagem 5 17 3" xfId="2120"/>
    <cellStyle name="Porcentagem 5 18" xfId="1970"/>
    <cellStyle name="Porcentagem 5 19" xfId="1535"/>
    <cellStyle name="Porcentagem 5 2" xfId="234"/>
    <cellStyle name="Porcentagem 5 2 10" xfId="946"/>
    <cellStyle name="Porcentagem 5 2 11" xfId="947"/>
    <cellStyle name="Porcentagem 5 2 12" xfId="948"/>
    <cellStyle name="Porcentagem 5 2 13" xfId="949"/>
    <cellStyle name="Porcentagem 5 2 14" xfId="950"/>
    <cellStyle name="Porcentagem 5 2 15" xfId="951"/>
    <cellStyle name="Porcentagem 5 2 16" xfId="1526"/>
    <cellStyle name="Porcentagem 5 2 16 2" xfId="1971"/>
    <cellStyle name="Porcentagem 5 2 16 3" xfId="2121"/>
    <cellStyle name="Porcentagem 5 2 17" xfId="1972"/>
    <cellStyle name="Porcentagem 5 2 18" xfId="2041"/>
    <cellStyle name="Porcentagem 5 2 2" xfId="313"/>
    <cellStyle name="Porcentagem 5 2 3" xfId="952"/>
    <cellStyle name="Porcentagem 5 2 4" xfId="953"/>
    <cellStyle name="Porcentagem 5 2 5" xfId="954"/>
    <cellStyle name="Porcentagem 5 2 6" xfId="955"/>
    <cellStyle name="Porcentagem 5 2 7" xfId="956"/>
    <cellStyle name="Porcentagem 5 2 8" xfId="957"/>
    <cellStyle name="Porcentagem 5 2 9" xfId="958"/>
    <cellStyle name="Porcentagem 5 3" xfId="312"/>
    <cellStyle name="Porcentagem 5 3 2" xfId="1973"/>
    <cellStyle name="Porcentagem 5 4" xfId="959"/>
    <cellStyle name="Porcentagem 5 5" xfId="960"/>
    <cellStyle name="Porcentagem 5 6" xfId="961"/>
    <cellStyle name="Porcentagem 5 7" xfId="962"/>
    <cellStyle name="Porcentagem 5 8" xfId="963"/>
    <cellStyle name="Porcentagem 5 9" xfId="964"/>
    <cellStyle name="Porcentagem 6" xfId="965"/>
    <cellStyle name="Porcentagem 6 10" xfId="966"/>
    <cellStyle name="Porcentagem 6 11" xfId="967"/>
    <cellStyle name="Porcentagem 6 12" xfId="968"/>
    <cellStyle name="Porcentagem 6 13" xfId="969"/>
    <cellStyle name="Porcentagem 6 14" xfId="970"/>
    <cellStyle name="Porcentagem 6 15" xfId="971"/>
    <cellStyle name="Porcentagem 6 16" xfId="1974"/>
    <cellStyle name="Porcentagem 6 17" xfId="1975"/>
    <cellStyle name="Porcentagem 6 2" xfId="972"/>
    <cellStyle name="Porcentagem 6 2 2" xfId="1976"/>
    <cellStyle name="Porcentagem 6 3" xfId="973"/>
    <cellStyle name="Porcentagem 6 4" xfId="974"/>
    <cellStyle name="Porcentagem 6 5" xfId="975"/>
    <cellStyle name="Porcentagem 6 6" xfId="976"/>
    <cellStyle name="Porcentagem 6 7" xfId="977"/>
    <cellStyle name="Porcentagem 6 8" xfId="978"/>
    <cellStyle name="Porcentagem 6 9" xfId="979"/>
    <cellStyle name="Porcentagem 7" xfId="980"/>
    <cellStyle name="Porcentagem 7 2" xfId="1977"/>
    <cellStyle name="Porcentagem 7 2 2" xfId="1978"/>
    <cellStyle name="Porcentagem 8" xfId="1979"/>
    <cellStyle name="Porcentagem 9" xfId="1980"/>
    <cellStyle name="Ruim" xfId="981"/>
    <cellStyle name="Saída 2" xfId="235"/>
    <cellStyle name="Saída 2 2" xfId="236"/>
    <cellStyle name="Saída 2 2 2" xfId="1981"/>
    <cellStyle name="Saída 2 3" xfId="1982"/>
    <cellStyle name="Saída 2_PLANILHA CONSILL LICITAÇÃO" xfId="1983"/>
    <cellStyle name="Saída 3" xfId="237"/>
    <cellStyle name="Saída 3 2" xfId="238"/>
    <cellStyle name="Saída 3 2 2" xfId="1984"/>
    <cellStyle name="Saída 3 3" xfId="1985"/>
    <cellStyle name="Saída 3_PLANILHA CONSILL LICITAÇÃO" xfId="1986"/>
    <cellStyle name="Separador de m" xfId="239"/>
    <cellStyle name="Separador de m 2" xfId="982"/>
    <cellStyle name="Separador de m 2 2" xfId="1987"/>
    <cellStyle name="Separador de m 2 2 2" xfId="1988"/>
    <cellStyle name="Separador de m 3" xfId="983"/>
    <cellStyle name="Separador de m 4" xfId="1989"/>
    <cellStyle name="Separador de m_PLANILHA LICITAÇÃO - R5" xfId="1990"/>
    <cellStyle name="Separador de milhares" xfId="289" builtinId="3"/>
    <cellStyle name="Separador de milhares 10" xfId="240"/>
    <cellStyle name="Separador de milhares 10 10" xfId="984"/>
    <cellStyle name="Separador de milhares 10 11" xfId="985"/>
    <cellStyle name="Separador de milhares 10 12" xfId="986"/>
    <cellStyle name="Separador de milhares 10 13" xfId="987"/>
    <cellStyle name="Separador de milhares 10 14" xfId="988"/>
    <cellStyle name="Separador de milhares 10 15" xfId="989"/>
    <cellStyle name="Separador de milhares 10 16" xfId="990"/>
    <cellStyle name="Separador de milhares 10 17" xfId="991"/>
    <cellStyle name="Separador de milhares 10 18" xfId="1527"/>
    <cellStyle name="Separador de milhares 10 18 2" xfId="1991"/>
    <cellStyle name="Separador de milhares 10 18 3" xfId="2122"/>
    <cellStyle name="Separador de milhares 10 19" xfId="1992"/>
    <cellStyle name="Separador de milhares 10 2" xfId="241"/>
    <cellStyle name="Separador de milhares 10 2 10" xfId="992"/>
    <cellStyle name="Separador de milhares 10 2 11" xfId="993"/>
    <cellStyle name="Separador de milhares 10 2 12" xfId="994"/>
    <cellStyle name="Separador de milhares 10 2 13" xfId="995"/>
    <cellStyle name="Separador de milhares 10 2 14" xfId="996"/>
    <cellStyle name="Separador de milhares 10 2 15" xfId="997"/>
    <cellStyle name="Separador de milhares 10 2 16" xfId="998"/>
    <cellStyle name="Separador de milhares 10 2 17" xfId="1528"/>
    <cellStyle name="Separador de milhares 10 2 17 2" xfId="1993"/>
    <cellStyle name="Separador de milhares 10 2 17 3" xfId="2123"/>
    <cellStyle name="Separador de milhares 10 2 18" xfId="1994"/>
    <cellStyle name="Separador de milhares 10 2 19" xfId="1591"/>
    <cellStyle name="Separador de milhares 10 2 2" xfId="315"/>
    <cellStyle name="Separador de milhares 10 2 2 10" xfId="1000"/>
    <cellStyle name="Separador de milhares 10 2 2 11" xfId="1001"/>
    <cellStyle name="Separador de milhares 10 2 2 12" xfId="1002"/>
    <cellStyle name="Separador de milhares 10 2 2 13" xfId="1003"/>
    <cellStyle name="Separador de milhares 10 2 2 14" xfId="1004"/>
    <cellStyle name="Separador de milhares 10 2 2 15" xfId="1005"/>
    <cellStyle name="Separador de milhares 10 2 2 16" xfId="1995"/>
    <cellStyle name="Separador de milhares 10 2 2 2" xfId="999"/>
    <cellStyle name="Separador de milhares 10 2 2 2 2" xfId="1006"/>
    <cellStyle name="Separador de milhares 10 2 2 3" xfId="1007"/>
    <cellStyle name="Separador de milhares 10 2 2 4" xfId="1008"/>
    <cellStyle name="Separador de milhares 10 2 2 5" xfId="1009"/>
    <cellStyle name="Separador de milhares 10 2 2 6" xfId="1010"/>
    <cellStyle name="Separador de milhares 10 2 2 7" xfId="1011"/>
    <cellStyle name="Separador de milhares 10 2 2 8" xfId="1012"/>
    <cellStyle name="Separador de milhares 10 2 2 9" xfId="1013"/>
    <cellStyle name="Separador de milhares 10 2 3" xfId="1014"/>
    <cellStyle name="Separador de milhares 10 2 4" xfId="1015"/>
    <cellStyle name="Separador de milhares 10 2 5" xfId="1016"/>
    <cellStyle name="Separador de milhares 10 2 6" xfId="1017"/>
    <cellStyle name="Separador de milhares 10 2 7" xfId="1018"/>
    <cellStyle name="Separador de milhares 10 2 8" xfId="1019"/>
    <cellStyle name="Separador de milhares 10 2 9" xfId="1020"/>
    <cellStyle name="Separador de milhares 10 20" xfId="1592"/>
    <cellStyle name="Separador de milhares 10 3" xfId="314"/>
    <cellStyle name="Separador de milhares 10 3 10" xfId="1022"/>
    <cellStyle name="Separador de milhares 10 3 11" xfId="1023"/>
    <cellStyle name="Separador de milhares 10 3 12" xfId="1024"/>
    <cellStyle name="Separador de milhares 10 3 13" xfId="1025"/>
    <cellStyle name="Separador de milhares 10 3 14" xfId="1026"/>
    <cellStyle name="Separador de milhares 10 3 15" xfId="1027"/>
    <cellStyle name="Separador de milhares 10 3 16" xfId="1996"/>
    <cellStyle name="Separador de milhares 10 3 2" xfId="1021"/>
    <cellStyle name="Separador de milhares 10 3 2 2" xfId="1028"/>
    <cellStyle name="Separador de milhares 10 3 3" xfId="1029"/>
    <cellStyle name="Separador de milhares 10 3 4" xfId="1030"/>
    <cellStyle name="Separador de milhares 10 3 5" xfId="1031"/>
    <cellStyle name="Separador de milhares 10 3 6" xfId="1032"/>
    <cellStyle name="Separador de milhares 10 3 7" xfId="1033"/>
    <cellStyle name="Separador de milhares 10 3 8" xfId="1034"/>
    <cellStyle name="Separador de milhares 10 3 9" xfId="1035"/>
    <cellStyle name="Separador de milhares 10 4" xfId="1036"/>
    <cellStyle name="Separador de milhares 10 5" xfId="1037"/>
    <cellStyle name="Separador de milhares 10 6" xfId="1038"/>
    <cellStyle name="Separador de milhares 10 7" xfId="1039"/>
    <cellStyle name="Separador de milhares 10 8" xfId="1040"/>
    <cellStyle name="Separador de milhares 10 9" xfId="1041"/>
    <cellStyle name="Separador de milhares 11" xfId="1997"/>
    <cellStyle name="Separador de milhares 12" xfId="1998"/>
    <cellStyle name="Separador de milhares 13" xfId="1999"/>
    <cellStyle name="Separador de milhares 14" xfId="2000"/>
    <cellStyle name="Separador de milhares 15" xfId="2001"/>
    <cellStyle name="Separador de milhares 16" xfId="2002"/>
    <cellStyle name="Separador de milhares 17" xfId="2003"/>
    <cellStyle name="Separador de milhares 18" xfId="2004"/>
    <cellStyle name="Separador de milhares 19" xfId="2005"/>
    <cellStyle name="Separador de milhares 2" xfId="242"/>
    <cellStyle name="Separador de milhares 2 2" xfId="243"/>
    <cellStyle name="Separador de milhares 2 2 10" xfId="1042"/>
    <cellStyle name="Separador de milhares 2 2 11" xfId="1043"/>
    <cellStyle name="Separador de milhares 2 2 12" xfId="1044"/>
    <cellStyle name="Separador de milhares 2 2 13" xfId="1045"/>
    <cellStyle name="Separador de milhares 2 2 14" xfId="1046"/>
    <cellStyle name="Separador de milhares 2 2 15" xfId="1047"/>
    <cellStyle name="Separador de milhares 2 2 16" xfId="1048"/>
    <cellStyle name="Separador de milhares 2 2 17" xfId="1049"/>
    <cellStyle name="Separador de milhares 2 2 18" xfId="1530"/>
    <cellStyle name="Separador de milhares 2 2 18 2" xfId="2006"/>
    <cellStyle name="Separador de milhares 2 2 18 3" xfId="2124"/>
    <cellStyle name="Separador de milhares 2 2 19" xfId="2007"/>
    <cellStyle name="Separador de milhares 2 2 2" xfId="244"/>
    <cellStyle name="Separador de milhares 2 2 2 10" xfId="1050"/>
    <cellStyle name="Separador de milhares 2 2 2 11" xfId="1051"/>
    <cellStyle name="Separador de milhares 2 2 2 12" xfId="1052"/>
    <cellStyle name="Separador de milhares 2 2 2 13" xfId="1053"/>
    <cellStyle name="Separador de milhares 2 2 2 14" xfId="1054"/>
    <cellStyle name="Separador de milhares 2 2 2 15" xfId="1055"/>
    <cellStyle name="Separador de milhares 2 2 2 16" xfId="1056"/>
    <cellStyle name="Separador de milhares 2 2 2 2" xfId="1057"/>
    <cellStyle name="Separador de milhares 2 2 2 2 10" xfId="1058"/>
    <cellStyle name="Separador de milhares 2 2 2 2 11" xfId="1059"/>
    <cellStyle name="Separador de milhares 2 2 2 2 12" xfId="1060"/>
    <cellStyle name="Separador de milhares 2 2 2 2 13" xfId="1061"/>
    <cellStyle name="Separador de milhares 2 2 2 2 14" xfId="1062"/>
    <cellStyle name="Separador de milhares 2 2 2 2 15" xfId="1063"/>
    <cellStyle name="Separador de milhares 2 2 2 2 2" xfId="1064"/>
    <cellStyle name="Separador de milhares 2 2 2 2 3" xfId="1065"/>
    <cellStyle name="Separador de milhares 2 2 2 2 4" xfId="1066"/>
    <cellStyle name="Separador de milhares 2 2 2 2 5" xfId="1067"/>
    <cellStyle name="Separador de milhares 2 2 2 2 6" xfId="1068"/>
    <cellStyle name="Separador de milhares 2 2 2 2 7" xfId="1069"/>
    <cellStyle name="Separador de milhares 2 2 2 2 8" xfId="1070"/>
    <cellStyle name="Separador de milhares 2 2 2 2 9" xfId="1071"/>
    <cellStyle name="Separador de milhares 2 2 2 3" xfId="1072"/>
    <cellStyle name="Separador de milhares 2 2 2 4" xfId="1073"/>
    <cellStyle name="Separador de milhares 2 2 2 5" xfId="1074"/>
    <cellStyle name="Separador de milhares 2 2 2 6" xfId="1075"/>
    <cellStyle name="Separador de milhares 2 2 2 7" xfId="1076"/>
    <cellStyle name="Separador de milhares 2 2 2 8" xfId="1077"/>
    <cellStyle name="Separador de milhares 2 2 2 9" xfId="1078"/>
    <cellStyle name="Separador de milhares 2 2 20" xfId="1589"/>
    <cellStyle name="Separador de milhares 2 2 3" xfId="317"/>
    <cellStyle name="Separador de milhares 2 2 3 10" xfId="1080"/>
    <cellStyle name="Separador de milhares 2 2 3 11" xfId="1081"/>
    <cellStyle name="Separador de milhares 2 2 3 12" xfId="1082"/>
    <cellStyle name="Separador de milhares 2 2 3 13" xfId="1083"/>
    <cellStyle name="Separador de milhares 2 2 3 14" xfId="1084"/>
    <cellStyle name="Separador de milhares 2 2 3 15" xfId="1085"/>
    <cellStyle name="Separador de milhares 2 2 3 16" xfId="2008"/>
    <cellStyle name="Separador de milhares 2 2 3 2" xfId="1079"/>
    <cellStyle name="Separador de milhares 2 2 3 2 2" xfId="1086"/>
    <cellStyle name="Separador de milhares 2 2 3 3" xfId="1087"/>
    <cellStyle name="Separador de milhares 2 2 3 4" xfId="1088"/>
    <cellStyle name="Separador de milhares 2 2 3 5" xfId="1089"/>
    <cellStyle name="Separador de milhares 2 2 3 6" xfId="1090"/>
    <cellStyle name="Separador de milhares 2 2 3 7" xfId="1091"/>
    <cellStyle name="Separador de milhares 2 2 3 8" xfId="1092"/>
    <cellStyle name="Separador de milhares 2 2 3 9" xfId="1093"/>
    <cellStyle name="Separador de milhares 2 2 4" xfId="1094"/>
    <cellStyle name="Separador de milhares 2 2 4 10" xfId="1095"/>
    <cellStyle name="Separador de milhares 2 2 4 11" xfId="1096"/>
    <cellStyle name="Separador de milhares 2 2 4 12" xfId="1097"/>
    <cellStyle name="Separador de milhares 2 2 4 13" xfId="1098"/>
    <cellStyle name="Separador de milhares 2 2 4 14" xfId="1099"/>
    <cellStyle name="Separador de milhares 2 2 4 15" xfId="1100"/>
    <cellStyle name="Separador de milhares 2 2 4 2" xfId="1101"/>
    <cellStyle name="Separador de milhares 2 2 4 3" xfId="1102"/>
    <cellStyle name="Separador de milhares 2 2 4 4" xfId="1103"/>
    <cellStyle name="Separador de milhares 2 2 4 5" xfId="1104"/>
    <cellStyle name="Separador de milhares 2 2 4 6" xfId="1105"/>
    <cellStyle name="Separador de milhares 2 2 4 7" xfId="1106"/>
    <cellStyle name="Separador de milhares 2 2 4 8" xfId="1107"/>
    <cellStyle name="Separador de milhares 2 2 4 9" xfId="1108"/>
    <cellStyle name="Separador de milhares 2 2 5" xfId="1109"/>
    <cellStyle name="Separador de milhares 2 2 6" xfId="1110"/>
    <cellStyle name="Separador de milhares 2 2 7" xfId="1111"/>
    <cellStyle name="Separador de milhares 2 2 8" xfId="1112"/>
    <cellStyle name="Separador de milhares 2 2 9" xfId="1113"/>
    <cellStyle name="Separador de milhares 2 3" xfId="245"/>
    <cellStyle name="Separador de milhares 2 3 10" xfId="1114"/>
    <cellStyle name="Separador de milhares 2 3 11" xfId="1115"/>
    <cellStyle name="Separador de milhares 2 3 12" xfId="1116"/>
    <cellStyle name="Separador de milhares 2 3 13" xfId="1117"/>
    <cellStyle name="Separador de milhares 2 3 14" xfId="1118"/>
    <cellStyle name="Separador de milhares 2 3 15" xfId="1119"/>
    <cellStyle name="Separador de milhares 2 3 16" xfId="1120"/>
    <cellStyle name="Separador de milhares 2 3 17" xfId="1531"/>
    <cellStyle name="Separador de milhares 2 3 17 2" xfId="2009"/>
    <cellStyle name="Separador de milhares 2 3 17 3" xfId="2125"/>
    <cellStyle name="Separador de milhares 2 3 18" xfId="2010"/>
    <cellStyle name="Separador de milhares 2 3 19" xfId="1588"/>
    <cellStyle name="Separador de milhares 2 3 2" xfId="318"/>
    <cellStyle name="Separador de milhares 2 3 2 10" xfId="1122"/>
    <cellStyle name="Separador de milhares 2 3 2 11" xfId="1123"/>
    <cellStyle name="Separador de milhares 2 3 2 12" xfId="1124"/>
    <cellStyle name="Separador de milhares 2 3 2 13" xfId="1125"/>
    <cellStyle name="Separador de milhares 2 3 2 14" xfId="1126"/>
    <cellStyle name="Separador de milhares 2 3 2 15" xfId="1127"/>
    <cellStyle name="Separador de milhares 2 3 2 16" xfId="2011"/>
    <cellStyle name="Separador de milhares 2 3 2 2" xfId="1121"/>
    <cellStyle name="Separador de milhares 2 3 2 2 2" xfId="1128"/>
    <cellStyle name="Separador de milhares 2 3 2 3" xfId="1129"/>
    <cellStyle name="Separador de milhares 2 3 2 4" xfId="1130"/>
    <cellStyle name="Separador de milhares 2 3 2 5" xfId="1131"/>
    <cellStyle name="Separador de milhares 2 3 2 6" xfId="1132"/>
    <cellStyle name="Separador de milhares 2 3 2 7" xfId="1133"/>
    <cellStyle name="Separador de milhares 2 3 2 8" xfId="1134"/>
    <cellStyle name="Separador de milhares 2 3 2 9" xfId="1135"/>
    <cellStyle name="Separador de milhares 2 3 3" xfId="1136"/>
    <cellStyle name="Separador de milhares 2 3 4" xfId="1137"/>
    <cellStyle name="Separador de milhares 2 3 5" xfId="1138"/>
    <cellStyle name="Separador de milhares 2 3 6" xfId="1139"/>
    <cellStyle name="Separador de milhares 2 3 7" xfId="1140"/>
    <cellStyle name="Separador de milhares 2 3 8" xfId="1141"/>
    <cellStyle name="Separador de milhares 2 3 9" xfId="1142"/>
    <cellStyle name="Separador de milhares 2 4" xfId="316"/>
    <cellStyle name="Separador de milhares 2 4 10" xfId="1144"/>
    <cellStyle name="Separador de milhares 2 4 11" xfId="1145"/>
    <cellStyle name="Separador de milhares 2 4 12" xfId="1146"/>
    <cellStyle name="Separador de milhares 2 4 13" xfId="1147"/>
    <cellStyle name="Separador de milhares 2 4 14" xfId="1148"/>
    <cellStyle name="Separador de milhares 2 4 15" xfId="1149"/>
    <cellStyle name="Separador de milhares 2 4 16" xfId="2012"/>
    <cellStyle name="Separador de milhares 2 4 17" xfId="2013"/>
    <cellStyle name="Separador de milhares 2 4 2" xfId="1143"/>
    <cellStyle name="Separador de milhares 2 4 2 2" xfId="1150"/>
    <cellStyle name="Separador de milhares 2 4 3" xfId="1151"/>
    <cellStyle name="Separador de milhares 2 4 4" xfId="1152"/>
    <cellStyle name="Separador de milhares 2 4 5" xfId="1153"/>
    <cellStyle name="Separador de milhares 2 4 6" xfId="1154"/>
    <cellStyle name="Separador de milhares 2 4 7" xfId="1155"/>
    <cellStyle name="Separador de milhares 2 4 8" xfId="1156"/>
    <cellStyle name="Separador de milhares 2 4 9" xfId="1157"/>
    <cellStyle name="Separador de milhares 2 5" xfId="1158"/>
    <cellStyle name="Separador de milhares 2 6" xfId="1529"/>
    <cellStyle name="Separador de milhares 2 6 2" xfId="2014"/>
    <cellStyle name="Separador de milhares 2 6 3" xfId="2126"/>
    <cellStyle name="Separador de milhares 2 7" xfId="1590"/>
    <cellStyle name="Separador de milhares 2_ÁLVARO JOSÉ DOS SANTOS" xfId="2015"/>
    <cellStyle name="Separador de milhares 20" xfId="2016"/>
    <cellStyle name="Separador de milhares 21" xfId="2017"/>
    <cellStyle name="Separador de milhares 22" xfId="2018"/>
    <cellStyle name="Separador de milhares 3" xfId="246"/>
    <cellStyle name="Separador de milhares 3 2" xfId="319"/>
    <cellStyle name="Separador de milhares 3 2 10" xfId="1160"/>
    <cellStyle name="Separador de milhares 3 2 11" xfId="1161"/>
    <cellStyle name="Separador de milhares 3 2 12" xfId="1162"/>
    <cellStyle name="Separador de milhares 3 2 13" xfId="1163"/>
    <cellStyle name="Separador de milhares 3 2 14" xfId="1164"/>
    <cellStyle name="Separador de milhares 3 2 15" xfId="1165"/>
    <cellStyle name="Separador de milhares 3 2 16" xfId="1166"/>
    <cellStyle name="Separador de milhares 3 2 17" xfId="2019"/>
    <cellStyle name="Separador de milhares 3 2 18" xfId="2020"/>
    <cellStyle name="Separador de milhares 3 2 2" xfId="1159"/>
    <cellStyle name="Separador de milhares 3 2 2 10" xfId="1167"/>
    <cellStyle name="Separador de milhares 3 2 2 11" xfId="1168"/>
    <cellStyle name="Separador de milhares 3 2 2 12" xfId="1169"/>
    <cellStyle name="Separador de milhares 3 2 2 13" xfId="1170"/>
    <cellStyle name="Separador de milhares 3 2 2 14" xfId="1171"/>
    <cellStyle name="Separador de milhares 3 2 2 15" xfId="1172"/>
    <cellStyle name="Separador de milhares 3 2 2 16" xfId="2021"/>
    <cellStyle name="Separador de milhares 3 2 2 17" xfId="2022"/>
    <cellStyle name="Separador de milhares 3 2 2 2" xfId="1173"/>
    <cellStyle name="Separador de milhares 3 2 2 3" xfId="1174"/>
    <cellStyle name="Separador de milhares 3 2 2 4" xfId="1175"/>
    <cellStyle name="Separador de milhares 3 2 2 5" xfId="1176"/>
    <cellStyle name="Separador de milhares 3 2 2 6" xfId="1177"/>
    <cellStyle name="Separador de milhares 3 2 2 7" xfId="1178"/>
    <cellStyle name="Separador de milhares 3 2 2 8" xfId="1179"/>
    <cellStyle name="Separador de milhares 3 2 2 9" xfId="1180"/>
    <cellStyle name="Separador de milhares 3 2 3" xfId="1181"/>
    <cellStyle name="Separador de milhares 3 2 4" xfId="1182"/>
    <cellStyle name="Separador de milhares 3 2 5" xfId="1183"/>
    <cellStyle name="Separador de milhares 3 2 6" xfId="1184"/>
    <cellStyle name="Separador de milhares 3 2 7" xfId="1185"/>
    <cellStyle name="Separador de milhares 3 2 8" xfId="1186"/>
    <cellStyle name="Separador de milhares 3 2 9" xfId="1187"/>
    <cellStyle name="Separador de milhares 3 3" xfId="1188"/>
    <cellStyle name="Separador de milhares 3 3 10" xfId="1189"/>
    <cellStyle name="Separador de milhares 3 3 11" xfId="1190"/>
    <cellStyle name="Separador de milhares 3 3 12" xfId="1191"/>
    <cellStyle name="Separador de milhares 3 3 13" xfId="1192"/>
    <cellStyle name="Separador de milhares 3 3 14" xfId="1193"/>
    <cellStyle name="Separador de milhares 3 3 15" xfId="1194"/>
    <cellStyle name="Separador de milhares 3 3 16" xfId="2023"/>
    <cellStyle name="Separador de milhares 3 3 17" xfId="2024"/>
    <cellStyle name="Separador de milhares 3 3 2" xfId="1195"/>
    <cellStyle name="Separador de milhares 3 3 3" xfId="1196"/>
    <cellStyle name="Separador de milhares 3 3 4" xfId="1197"/>
    <cellStyle name="Separador de milhares 3 3 5" xfId="1198"/>
    <cellStyle name="Separador de milhares 3 3 6" xfId="1199"/>
    <cellStyle name="Separador de milhares 3 3 7" xfId="1200"/>
    <cellStyle name="Separador de milhares 3 3 8" xfId="1201"/>
    <cellStyle name="Separador de milhares 3 3 9" xfId="1202"/>
    <cellStyle name="Separador de milhares 3 4" xfId="1532"/>
    <cellStyle name="Separador de milhares 3 4 2" xfId="2025"/>
    <cellStyle name="Separador de milhares 3 4 2 2" xfId="2026"/>
    <cellStyle name="Separador de milhares 3 4 2 3" xfId="2128"/>
    <cellStyle name="Separador de milhares 3 4 3" xfId="2127"/>
    <cellStyle name="Separador de milhares 3 5" xfId="1587"/>
    <cellStyle name="Separador de milhares 3_ÁLVARO JOSÉ DOS SANTOS" xfId="2027"/>
    <cellStyle name="Separador de milhares 4" xfId="247"/>
    <cellStyle name="Separador de milhares 4 2" xfId="320"/>
    <cellStyle name="Separador de milhares 4 2 10" xfId="1204"/>
    <cellStyle name="Separador de milhares 4 2 11" xfId="1205"/>
    <cellStyle name="Separador de milhares 4 2 12" xfId="1206"/>
    <cellStyle name="Separador de milhares 4 2 13" xfId="1207"/>
    <cellStyle name="Separador de milhares 4 2 14" xfId="1208"/>
    <cellStyle name="Separador de milhares 4 2 15" xfId="1209"/>
    <cellStyle name="Separador de milhares 4 2 16" xfId="1210"/>
    <cellStyle name="Separador de milhares 4 2 17" xfId="2028"/>
    <cellStyle name="Separador de milhares 4 2 18" xfId="2029"/>
    <cellStyle name="Separador de milhares 4 2 2" xfId="1203"/>
    <cellStyle name="Separador de milhares 4 2 2 10" xfId="1211"/>
    <cellStyle name="Separador de milhares 4 2 2 11" xfId="1212"/>
    <cellStyle name="Separador de milhares 4 2 2 12" xfId="1213"/>
    <cellStyle name="Separador de milhares 4 2 2 13" xfId="1214"/>
    <cellStyle name="Separador de milhares 4 2 2 14" xfId="1215"/>
    <cellStyle name="Separador de milhares 4 2 2 15" xfId="1216"/>
    <cellStyle name="Separador de milhares 4 2 2 16" xfId="2030"/>
    <cellStyle name="Separador de milhares 4 2 2 17" xfId="2031"/>
    <cellStyle name="Separador de milhares 4 2 2 2" xfId="1217"/>
    <cellStyle name="Separador de milhares 4 2 2 3" xfId="1218"/>
    <cellStyle name="Separador de milhares 4 2 2 4" xfId="1219"/>
    <cellStyle name="Separador de milhares 4 2 2 5" xfId="1220"/>
    <cellStyle name="Separador de milhares 4 2 2 6" xfId="1221"/>
    <cellStyle name="Separador de milhares 4 2 2 7" xfId="1222"/>
    <cellStyle name="Separador de milhares 4 2 2 8" xfId="1223"/>
    <cellStyle name="Separador de milhares 4 2 2 9" xfId="1224"/>
    <cellStyle name="Separador de milhares 4 2 3" xfId="1225"/>
    <cellStyle name="Separador de milhares 4 2 4" xfId="1226"/>
    <cellStyle name="Separador de milhares 4 2 5" xfId="1227"/>
    <cellStyle name="Separador de milhares 4 2 6" xfId="1228"/>
    <cellStyle name="Separador de milhares 4 2 7" xfId="1229"/>
    <cellStyle name="Separador de milhares 4 2 8" xfId="1230"/>
    <cellStyle name="Separador de milhares 4 2 9" xfId="1231"/>
    <cellStyle name="Separador de milhares 4 3" xfId="1533"/>
    <cellStyle name="Separador de milhares 4 3 2" xfId="2032"/>
    <cellStyle name="Separador de milhares 4 3 3" xfId="2129"/>
    <cellStyle name="Separador de milhares 4 4" xfId="1586"/>
    <cellStyle name="Separador de milhares 4_ÁLVARO JOSÉ DOS SANTOS" xfId="2033"/>
    <cellStyle name="Separador de milhares 5" xfId="248"/>
    <cellStyle name="Separador de milhares 5 2" xfId="321"/>
    <cellStyle name="Separador de milhares 5 2 10" xfId="1233"/>
    <cellStyle name="Separador de milhares 5 2 11" xfId="1234"/>
    <cellStyle name="Separador de milhares 5 2 12" xfId="1235"/>
    <cellStyle name="Separador de milhares 5 2 13" xfId="1236"/>
    <cellStyle name="Separador de milhares 5 2 14" xfId="1237"/>
    <cellStyle name="Separador de milhares 5 2 15" xfId="1238"/>
    <cellStyle name="Separador de milhares 5 2 16" xfId="1239"/>
    <cellStyle name="Separador de milhares 5 2 17" xfId="2034"/>
    <cellStyle name="Separador de milhares 5 2 18" xfId="2035"/>
    <cellStyle name="Separador de milhares 5 2 2" xfId="1232"/>
    <cellStyle name="Separador de milhares 5 2 2 10" xfId="1240"/>
    <cellStyle name="Separador de milhares 5 2 2 11" xfId="1241"/>
    <cellStyle name="Separador de milhares 5 2 2 12" xfId="1242"/>
    <cellStyle name="Separador de milhares 5 2 2 13" xfId="1243"/>
    <cellStyle name="Separador de milhares 5 2 2 14" xfId="1244"/>
    <cellStyle name="Separador de milhares 5 2 2 15" xfId="1245"/>
    <cellStyle name="Separador de milhares 5 2 2 16" xfId="2036"/>
    <cellStyle name="Separador de milhares 5 2 2 17" xfId="2037"/>
    <cellStyle name="Separador de milhares 5 2 2 2" xfId="1246"/>
    <cellStyle name="Separador de milhares 5 2 2 3" xfId="1247"/>
    <cellStyle name="Separador de milhares 5 2 2 4" xfId="1248"/>
    <cellStyle name="Separador de milhares 5 2 2 5" xfId="1249"/>
    <cellStyle name="Separador de milhares 5 2 2 6" xfId="1250"/>
    <cellStyle name="Separador de milhares 5 2 2 7" xfId="1251"/>
    <cellStyle name="Separador de milhares 5 2 2 8" xfId="1252"/>
    <cellStyle name="Separador de milhares 5 2 2 9" xfId="1253"/>
    <cellStyle name="Separador de milhares 5 2 3" xfId="1254"/>
    <cellStyle name="Separador de milhares 5 2 4" xfId="1255"/>
    <cellStyle name="Separador de milhares 5 2 5" xfId="1256"/>
    <cellStyle name="Separador de milhares 5 2 6" xfId="1257"/>
    <cellStyle name="Separador de milhares 5 2 7" xfId="1258"/>
    <cellStyle name="Separador de milhares 5 2 8" xfId="1259"/>
    <cellStyle name="Separador de milhares 5 2 9" xfId="1260"/>
    <cellStyle name="Separador de milhares 5 3" xfId="1261"/>
    <cellStyle name="Separador de milhares 5 3 10" xfId="1262"/>
    <cellStyle name="Separador de milhares 5 3 11" xfId="1263"/>
    <cellStyle name="Separador de milhares 5 3 12" xfId="1264"/>
    <cellStyle name="Separador de milhares 5 3 13" xfId="1265"/>
    <cellStyle name="Separador de milhares 5 3 14" xfId="1266"/>
    <cellStyle name="Separador de milhares 5 3 15" xfId="1267"/>
    <cellStyle name="Separador de milhares 5 3 16" xfId="2038"/>
    <cellStyle name="Separador de milhares 5 3 17" xfId="2039"/>
    <cellStyle name="Separador de milhares 5 3 2" xfId="1268"/>
    <cellStyle name="Separador de milhares 5 3 3" xfId="1269"/>
    <cellStyle name="Separador de milhares 5 3 4" xfId="1270"/>
    <cellStyle name="Separador de milhares 5 3 5" xfId="1271"/>
    <cellStyle name="Separador de milhares 5 3 6" xfId="1272"/>
    <cellStyle name="Separador de milhares 5 3 7" xfId="1273"/>
    <cellStyle name="Separador de milhares 5 3 8" xfId="1274"/>
    <cellStyle name="Separador de milhares 5 3 9" xfId="1275"/>
    <cellStyle name="Separador de milhares 5 4" xfId="1534"/>
    <cellStyle name="Separador de milhares 5 4 2" xfId="2040"/>
    <cellStyle name="Separador de milhares 5 4 3" xfId="2130"/>
    <cellStyle name="Separador de milhares 5 5" xfId="1585"/>
    <cellStyle name="Separador de milhares 5_ÁLVARO JOSÉ DOS SANTOS" xfId="2042"/>
    <cellStyle name="Separador de milhares 6" xfId="2043"/>
    <cellStyle name="Separador de milhares 6 2" xfId="2044"/>
    <cellStyle name="Separador de milhares 7" xfId="2045"/>
    <cellStyle name="Separador de milhares 8" xfId="2046"/>
    <cellStyle name="Separador de milhares 9" xfId="2047"/>
    <cellStyle name="Status 1" xfId="2048"/>
    <cellStyle name="Status 2" xfId="2049"/>
    <cellStyle name="Text 1" xfId="2050"/>
    <cellStyle name="Text 2" xfId="2051"/>
    <cellStyle name="Texto de Aviso 2" xfId="249"/>
    <cellStyle name="Texto de Aviso 2 2" xfId="250"/>
    <cellStyle name="Texto de Aviso 3" xfId="251"/>
    <cellStyle name="Texto de Aviso 3 2" xfId="252"/>
    <cellStyle name="Texto Explicativo 2" xfId="253"/>
    <cellStyle name="Texto Explicativo 2 2" xfId="254"/>
    <cellStyle name="Texto Explicativo 3" xfId="255"/>
    <cellStyle name="Texto Explicativo 3 2" xfId="256"/>
    <cellStyle name="Title" xfId="257"/>
    <cellStyle name="Título 1 1" xfId="258"/>
    <cellStyle name="Título 1 2" xfId="259"/>
    <cellStyle name="Título 1 2 2" xfId="260"/>
    <cellStyle name="Título 1 2_PLANILHA CONSILL LICITAÇÃO" xfId="2052"/>
    <cellStyle name="Título 1 3" xfId="261"/>
    <cellStyle name="Título 1 3 2" xfId="262"/>
    <cellStyle name="Título 1 3_PLANILHA CONSILL LICITAÇÃO" xfId="2053"/>
    <cellStyle name="Título 2 2" xfId="263"/>
    <cellStyle name="Título 2 2 2" xfId="264"/>
    <cellStyle name="Título 2 2_PLANILHA CONSILL LICITAÇÃO" xfId="2054"/>
    <cellStyle name="Título 2 3" xfId="265"/>
    <cellStyle name="Título 2 3 2" xfId="266"/>
    <cellStyle name="Título 2 3_PLANILHA CONSILL LICITAÇÃO" xfId="2055"/>
    <cellStyle name="Título 3 2" xfId="267"/>
    <cellStyle name="Título 3 2 2" xfId="268"/>
    <cellStyle name="Título 3 2_PLANILHA CONSILL LICITAÇÃO" xfId="2056"/>
    <cellStyle name="Título 3 3" xfId="269"/>
    <cellStyle name="Título 3 3 2" xfId="270"/>
    <cellStyle name="Título 3 3_PLANILHA CONSILL LICITAÇÃO" xfId="2057"/>
    <cellStyle name="Título 4 2" xfId="271"/>
    <cellStyle name="Título 4 2 2" xfId="272"/>
    <cellStyle name="Título 4 3" xfId="273"/>
    <cellStyle name="Título 4 3 2" xfId="274"/>
    <cellStyle name="Título 5" xfId="275"/>
    <cellStyle name="Título 5 2" xfId="276"/>
    <cellStyle name="Título 5 3" xfId="2058"/>
    <cellStyle name="Título 6" xfId="277"/>
    <cellStyle name="Título 6 2" xfId="278"/>
    <cellStyle name="Titulo1" xfId="279"/>
    <cellStyle name="Titulo1 2" xfId="1276"/>
    <cellStyle name="Titulo1 2 2" xfId="2059"/>
    <cellStyle name="Titulo1 2 2 2" xfId="2060"/>
    <cellStyle name="Titulo1 3" xfId="1277"/>
    <cellStyle name="Titulo1 4" xfId="2061"/>
    <cellStyle name="Titulo1_PLANILHA LICITAÇÃO - R5" xfId="2062"/>
    <cellStyle name="Titulo2" xfId="280"/>
    <cellStyle name="Titulo2 2" xfId="1278"/>
    <cellStyle name="Titulo2 2 2" xfId="2063"/>
    <cellStyle name="Titulo2 2 2 2" xfId="2064"/>
    <cellStyle name="Titulo2 3" xfId="1279"/>
    <cellStyle name="Titulo2 4" xfId="2065"/>
    <cellStyle name="Titulo2_PLANILHA LICITAÇÃO - R5" xfId="2066"/>
    <cellStyle name="Total 2" xfId="281"/>
    <cellStyle name="Total 2 2" xfId="282"/>
    <cellStyle name="Total 2_PLANILHA CONSILL LICITAÇÃO" xfId="2067"/>
    <cellStyle name="Total 3" xfId="283"/>
    <cellStyle name="Total 3 2" xfId="284"/>
    <cellStyle name="Total 3_PLANILHA CONSILL LICITAÇÃO" xfId="2068"/>
    <cellStyle name="Vírgula 2" xfId="285"/>
    <cellStyle name="Vírgula 2 2" xfId="286"/>
    <cellStyle name="Vírgula 2 2 10" xfId="1280"/>
    <cellStyle name="Vírgula 2 2 11" xfId="1281"/>
    <cellStyle name="Vírgula 2 2 12" xfId="1282"/>
    <cellStyle name="Vírgula 2 2 13" xfId="1283"/>
    <cellStyle name="Vírgula 2 2 14" xfId="1284"/>
    <cellStyle name="Vírgula 2 2 15" xfId="1285"/>
    <cellStyle name="Vírgula 2 2 16" xfId="1286"/>
    <cellStyle name="Vírgula 2 2 17" xfId="1287"/>
    <cellStyle name="Vírgula 2 2 18" xfId="1552"/>
    <cellStyle name="Vírgula 2 2 18 2" xfId="2069"/>
    <cellStyle name="Vírgula 2 2 18 3" xfId="2131"/>
    <cellStyle name="Vírgula 2 2 19" xfId="2070"/>
    <cellStyle name="Vírgula 2 2 2" xfId="323"/>
    <cellStyle name="Vírgula 2 2 2 10" xfId="1289"/>
    <cellStyle name="Vírgula 2 2 2 11" xfId="1290"/>
    <cellStyle name="Vírgula 2 2 2 12" xfId="1291"/>
    <cellStyle name="Vírgula 2 2 2 13" xfId="1292"/>
    <cellStyle name="Vírgula 2 2 2 14" xfId="1293"/>
    <cellStyle name="Vírgula 2 2 2 15" xfId="1294"/>
    <cellStyle name="Vírgula 2 2 2 16" xfId="2071"/>
    <cellStyle name="Vírgula 2 2 2 17" xfId="2072"/>
    <cellStyle name="Vírgula 2 2 2 2" xfId="1288"/>
    <cellStyle name="Vírgula 2 2 2 2 2" xfId="1295"/>
    <cellStyle name="Vírgula 2 2 2 3" xfId="1296"/>
    <cellStyle name="Vírgula 2 2 2 4" xfId="1297"/>
    <cellStyle name="Vírgula 2 2 2 5" xfId="1298"/>
    <cellStyle name="Vírgula 2 2 2 6" xfId="1299"/>
    <cellStyle name="Vírgula 2 2 2 7" xfId="1300"/>
    <cellStyle name="Vírgula 2 2 2 8" xfId="1301"/>
    <cellStyle name="Vírgula 2 2 2 9" xfId="1302"/>
    <cellStyle name="Vírgula 2 2 20" xfId="1583"/>
    <cellStyle name="Vírgula 2 2 3" xfId="1303"/>
    <cellStyle name="Vírgula 2 2 3 10" xfId="1304"/>
    <cellStyle name="Vírgula 2 2 3 11" xfId="1305"/>
    <cellStyle name="Vírgula 2 2 3 12" xfId="1306"/>
    <cellStyle name="Vírgula 2 2 3 13" xfId="1307"/>
    <cellStyle name="Vírgula 2 2 3 14" xfId="1308"/>
    <cellStyle name="Vírgula 2 2 3 15" xfId="1309"/>
    <cellStyle name="Vírgula 2 2 3 16" xfId="2073"/>
    <cellStyle name="Vírgula 2 2 3 17" xfId="2074"/>
    <cellStyle name="Vírgula 2 2 3 2" xfId="1310"/>
    <cellStyle name="Vírgula 2 2 3 3" xfId="1311"/>
    <cellStyle name="Vírgula 2 2 3 4" xfId="1312"/>
    <cellStyle name="Vírgula 2 2 3 5" xfId="1313"/>
    <cellStyle name="Vírgula 2 2 3 6" xfId="1314"/>
    <cellStyle name="Vírgula 2 2 3 7" xfId="1315"/>
    <cellStyle name="Vírgula 2 2 3 8" xfId="1316"/>
    <cellStyle name="Vírgula 2 2 3 9" xfId="1317"/>
    <cellStyle name="Vírgula 2 2 4" xfId="1318"/>
    <cellStyle name="Vírgula 2 2 4 10" xfId="1319"/>
    <cellStyle name="Vírgula 2 2 4 11" xfId="1320"/>
    <cellStyle name="Vírgula 2 2 4 12" xfId="1321"/>
    <cellStyle name="Vírgula 2 2 4 13" xfId="1322"/>
    <cellStyle name="Vírgula 2 2 4 14" xfId="1323"/>
    <cellStyle name="Vírgula 2 2 4 15" xfId="1324"/>
    <cellStyle name="Vírgula 2 2 4 2" xfId="1325"/>
    <cellStyle name="Vírgula 2 2 4 3" xfId="1326"/>
    <cellStyle name="Vírgula 2 2 4 4" xfId="1327"/>
    <cellStyle name="Vírgula 2 2 4 5" xfId="1328"/>
    <cellStyle name="Vírgula 2 2 4 6" xfId="1329"/>
    <cellStyle name="Vírgula 2 2 4 7" xfId="1330"/>
    <cellStyle name="Vírgula 2 2 4 8" xfId="1331"/>
    <cellStyle name="Vírgula 2 2 4 9" xfId="1332"/>
    <cellStyle name="Vírgula 2 2 5" xfId="1333"/>
    <cellStyle name="Vírgula 2 2 6" xfId="1334"/>
    <cellStyle name="Vírgula 2 2 7" xfId="1335"/>
    <cellStyle name="Vírgula 2 2 8" xfId="1336"/>
    <cellStyle name="Vírgula 2 2 9" xfId="1337"/>
    <cellStyle name="Vírgula 2 3" xfId="322"/>
    <cellStyle name="Vírgula 2 3 10" xfId="1339"/>
    <cellStyle name="Vírgula 2 3 11" xfId="1340"/>
    <cellStyle name="Vírgula 2 3 12" xfId="1341"/>
    <cellStyle name="Vírgula 2 3 13" xfId="1342"/>
    <cellStyle name="Vírgula 2 3 14" xfId="1343"/>
    <cellStyle name="Vírgula 2 3 15" xfId="1344"/>
    <cellStyle name="Vírgula 2 3 16" xfId="1345"/>
    <cellStyle name="Vírgula 2 3 17" xfId="2075"/>
    <cellStyle name="Vírgula 2 3 18" xfId="2076"/>
    <cellStyle name="Vírgula 2 3 2" xfId="1338"/>
    <cellStyle name="Vírgula 2 3 2 10" xfId="1346"/>
    <cellStyle name="Vírgula 2 3 2 11" xfId="1347"/>
    <cellStyle name="Vírgula 2 3 2 12" xfId="1348"/>
    <cellStyle name="Vírgula 2 3 2 13" xfId="1349"/>
    <cellStyle name="Vírgula 2 3 2 14" xfId="1350"/>
    <cellStyle name="Vírgula 2 3 2 15" xfId="1351"/>
    <cellStyle name="Vírgula 2 3 2 16" xfId="2077"/>
    <cellStyle name="Vírgula 2 3 2 2" xfId="1352"/>
    <cellStyle name="Vírgula 2 3 2 3" xfId="1353"/>
    <cellStyle name="Vírgula 2 3 2 4" xfId="1354"/>
    <cellStyle name="Vírgula 2 3 2 5" xfId="1355"/>
    <cellStyle name="Vírgula 2 3 2 6" xfId="1356"/>
    <cellStyle name="Vírgula 2 3 2 7" xfId="1357"/>
    <cellStyle name="Vírgula 2 3 2 8" xfId="1358"/>
    <cellStyle name="Vírgula 2 3 2 9" xfId="1359"/>
    <cellStyle name="Vírgula 2 3 3" xfId="1360"/>
    <cellStyle name="Vírgula 2 3 4" xfId="1361"/>
    <cellStyle name="Vírgula 2 3 5" xfId="1362"/>
    <cellStyle name="Vírgula 2 3 6" xfId="1363"/>
    <cellStyle name="Vírgula 2 3 7" xfId="1364"/>
    <cellStyle name="Vírgula 2 3 8" xfId="1365"/>
    <cellStyle name="Vírgula 2 3 9" xfId="1366"/>
    <cellStyle name="Vírgula 2 4" xfId="1367"/>
    <cellStyle name="Vírgula 2 4 10" xfId="1368"/>
    <cellStyle name="Vírgula 2 4 11" xfId="1369"/>
    <cellStyle name="Vírgula 2 4 12" xfId="1370"/>
    <cellStyle name="Vírgula 2 4 13" xfId="1371"/>
    <cellStyle name="Vírgula 2 4 14" xfId="1372"/>
    <cellStyle name="Vírgula 2 4 15" xfId="1373"/>
    <cellStyle name="Vírgula 2 4 16" xfId="2078"/>
    <cellStyle name="Vírgula 2 4 17" xfId="2079"/>
    <cellStyle name="Vírgula 2 4 2" xfId="1374"/>
    <cellStyle name="Vírgula 2 4 3" xfId="1375"/>
    <cellStyle name="Vírgula 2 4 4" xfId="1376"/>
    <cellStyle name="Vírgula 2 4 5" xfId="1377"/>
    <cellStyle name="Vírgula 2 4 6" xfId="1378"/>
    <cellStyle name="Vírgula 2 4 7" xfId="1379"/>
    <cellStyle name="Vírgula 2 4 8" xfId="1380"/>
    <cellStyle name="Vírgula 2 4 9" xfId="1381"/>
    <cellStyle name="Vírgula 2 5" xfId="1551"/>
    <cellStyle name="Vírgula 2 5 2" xfId="2080"/>
    <cellStyle name="Vírgula 2 5 3" xfId="2132"/>
    <cellStyle name="Vírgula 2 6" xfId="1584"/>
    <cellStyle name="Vírgula 2_ÁLVARO JOSÉ DOS SANTOS" xfId="2081"/>
    <cellStyle name="Vírgula 3" xfId="287"/>
    <cellStyle name="Vírgula 3 10" xfId="1382"/>
    <cellStyle name="Vírgula 3 11" xfId="1383"/>
    <cellStyle name="Vírgula 3 12" xfId="1384"/>
    <cellStyle name="Vírgula 3 13" xfId="1385"/>
    <cellStyle name="Vírgula 3 14" xfId="1386"/>
    <cellStyle name="Vírgula 3 15" xfId="1387"/>
    <cellStyle name="Vírgula 3 16" xfId="1388"/>
    <cellStyle name="Vírgula 3 17" xfId="1553"/>
    <cellStyle name="Vírgula 3 17 2" xfId="2082"/>
    <cellStyle name="Vírgula 3 17 3" xfId="2133"/>
    <cellStyle name="Vírgula 3 18" xfId="2083"/>
    <cellStyle name="Vírgula 3 19" xfId="1582"/>
    <cellStyle name="Vírgula 3 2" xfId="324"/>
    <cellStyle name="Vírgula 3 2 10" xfId="1390"/>
    <cellStyle name="Vírgula 3 2 11" xfId="1391"/>
    <cellStyle name="Vírgula 3 2 12" xfId="1392"/>
    <cellStyle name="Vírgula 3 2 13" xfId="1393"/>
    <cellStyle name="Vírgula 3 2 14" xfId="1394"/>
    <cellStyle name="Vírgula 3 2 15" xfId="1395"/>
    <cellStyle name="Vírgula 3 2 16" xfId="2084"/>
    <cellStyle name="Vírgula 3 2 17" xfId="2085"/>
    <cellStyle name="Vírgula 3 2 2" xfId="1389"/>
    <cellStyle name="Vírgula 3 2 2 2" xfId="1396"/>
    <cellStyle name="Vírgula 3 2 3" xfId="1397"/>
    <cellStyle name="Vírgula 3 2 4" xfId="1398"/>
    <cellStyle name="Vírgula 3 2 5" xfId="1399"/>
    <cellStyle name="Vírgula 3 2 6" xfId="1400"/>
    <cellStyle name="Vírgula 3 2 7" xfId="1401"/>
    <cellStyle name="Vírgula 3 2 8" xfId="1402"/>
    <cellStyle name="Vírgula 3 2 9" xfId="1403"/>
    <cellStyle name="Vírgula 3 3" xfId="1404"/>
    <cellStyle name="Vírgula 3 3 2" xfId="2086"/>
    <cellStyle name="Vírgula 3 4" xfId="1405"/>
    <cellStyle name="Vírgula 3 5" xfId="1406"/>
    <cellStyle name="Vírgula 3 6" xfId="1407"/>
    <cellStyle name="Vírgula 3 7" xfId="1408"/>
    <cellStyle name="Vírgula 3 8" xfId="1409"/>
    <cellStyle name="Vírgula 3 9" xfId="1410"/>
    <cellStyle name="Vírgula 4" xfId="1411"/>
    <cellStyle name="Vírgula 4 2" xfId="1412"/>
    <cellStyle name="Vírgula 4 2 10" xfId="1413"/>
    <cellStyle name="Vírgula 4 2 11" xfId="1414"/>
    <cellStyle name="Vírgula 4 2 12" xfId="1415"/>
    <cellStyle name="Vírgula 4 2 13" xfId="1416"/>
    <cellStyle name="Vírgula 4 2 14" xfId="1417"/>
    <cellStyle name="Vírgula 4 2 15" xfId="1418"/>
    <cellStyle name="Vírgula 4 2 16" xfId="2087"/>
    <cellStyle name="Vírgula 4 2 17" xfId="2088"/>
    <cellStyle name="Vírgula 4 2 2" xfId="1419"/>
    <cellStyle name="Vírgula 4 2 3" xfId="1420"/>
    <cellStyle name="Vírgula 4 2 4" xfId="1421"/>
    <cellStyle name="Vírgula 4 2 5" xfId="1422"/>
    <cellStyle name="Vírgula 4 2 6" xfId="1423"/>
    <cellStyle name="Vírgula 4 2 7" xfId="1424"/>
    <cellStyle name="Vírgula 4 2 8" xfId="1425"/>
    <cellStyle name="Vírgula 4 2 9" xfId="1426"/>
    <cellStyle name="Vírgula 4 3" xfId="2089"/>
    <cellStyle name="Vírgula 5" xfId="1427"/>
    <cellStyle name="Vírgula 5 2" xfId="1428"/>
    <cellStyle name="Vírgula 5 2 10" xfId="1429"/>
    <cellStyle name="Vírgula 5 2 11" xfId="1430"/>
    <cellStyle name="Vírgula 5 2 12" xfId="1431"/>
    <cellStyle name="Vírgula 5 2 13" xfId="1432"/>
    <cellStyle name="Vírgula 5 2 14" xfId="1433"/>
    <cellStyle name="Vírgula 5 2 15" xfId="1434"/>
    <cellStyle name="Vírgula 5 2 16" xfId="2090"/>
    <cellStyle name="Vírgula 5 2 2" xfId="1435"/>
    <cellStyle name="Vírgula 5 2 3" xfId="1436"/>
    <cellStyle name="Vírgula 5 2 4" xfId="1437"/>
    <cellStyle name="Vírgula 5 2 5" xfId="1438"/>
    <cellStyle name="Vírgula 5 2 6" xfId="1439"/>
    <cellStyle name="Vírgula 5 2 7" xfId="1440"/>
    <cellStyle name="Vírgula 5 2 8" xfId="1441"/>
    <cellStyle name="Vírgula 5 2 9" xfId="1442"/>
    <cellStyle name="Vírgula 5 3" xfId="2091"/>
    <cellStyle name="Vírgula 6" xfId="1443"/>
    <cellStyle name="Vírgula 6 10" xfId="1444"/>
    <cellStyle name="Vírgula 6 11" xfId="1445"/>
    <cellStyle name="Vírgula 6 12" xfId="1446"/>
    <cellStyle name="Vírgula 6 13" xfId="1447"/>
    <cellStyle name="Vírgula 6 14" xfId="1448"/>
    <cellStyle name="Vírgula 6 15" xfId="1449"/>
    <cellStyle name="Vírgula 6 16" xfId="2092"/>
    <cellStyle name="Vírgula 6 17" xfId="2093"/>
    <cellStyle name="Vírgula 6 2" xfId="1450"/>
    <cellStyle name="Vírgula 6 3" xfId="1451"/>
    <cellStyle name="Vírgula 6 4" xfId="1452"/>
    <cellStyle name="Vírgula 6 5" xfId="1453"/>
    <cellStyle name="Vírgula 6 6" xfId="1454"/>
    <cellStyle name="Vírgula 6 7" xfId="1455"/>
    <cellStyle name="Vírgula 6 8" xfId="1456"/>
    <cellStyle name="Vírgula 6 9" xfId="1457"/>
    <cellStyle name="Vírgula 7" xfId="1458"/>
    <cellStyle name="Vírgula 7 10" xfId="1459"/>
    <cellStyle name="Vírgula 7 11" xfId="1460"/>
    <cellStyle name="Vírgula 7 12" xfId="1461"/>
    <cellStyle name="Vírgula 7 13" xfId="1462"/>
    <cellStyle name="Vírgula 7 14" xfId="1463"/>
    <cellStyle name="Vírgula 7 15" xfId="1464"/>
    <cellStyle name="Vírgula 7 16" xfId="2094"/>
    <cellStyle name="Vírgula 7 2" xfId="1465"/>
    <cellStyle name="Vírgula 7 3" xfId="1466"/>
    <cellStyle name="Vírgula 7 4" xfId="1467"/>
    <cellStyle name="Vírgula 7 5" xfId="1468"/>
    <cellStyle name="Vírgula 7 6" xfId="1469"/>
    <cellStyle name="Vírgula 7 7" xfId="1470"/>
    <cellStyle name="Vírgula 7 8" xfId="1471"/>
    <cellStyle name="Vírgula 7 9" xfId="1472"/>
    <cellStyle name="Vírgula 8" xfId="1473"/>
    <cellStyle name="Vírgula 8 10" xfId="1474"/>
    <cellStyle name="Vírgula 8 11" xfId="1475"/>
    <cellStyle name="Vírgula 8 12" xfId="1476"/>
    <cellStyle name="Vírgula 8 13" xfId="1477"/>
    <cellStyle name="Vírgula 8 14" xfId="1478"/>
    <cellStyle name="Vírgula 8 15" xfId="1479"/>
    <cellStyle name="Vírgula 8 16" xfId="2095"/>
    <cellStyle name="Vírgula 8 2" xfId="1480"/>
    <cellStyle name="Vírgula 8 3" xfId="1481"/>
    <cellStyle name="Vírgula 8 4" xfId="1482"/>
    <cellStyle name="Vírgula 8 5" xfId="1483"/>
    <cellStyle name="Vírgula 8 6" xfId="1484"/>
    <cellStyle name="Vírgula 8 7" xfId="1485"/>
    <cellStyle name="Vírgula 8 8" xfId="1486"/>
    <cellStyle name="Vírgula 8 9" xfId="1487"/>
    <cellStyle name="Vírgula 9" xfId="1488"/>
    <cellStyle name="Vírgula 9 10" xfId="1489"/>
    <cellStyle name="Vírgula 9 11" xfId="1490"/>
    <cellStyle name="Vírgula 9 12" xfId="1491"/>
    <cellStyle name="Vírgula 9 13" xfId="1492"/>
    <cellStyle name="Vírgula 9 14" xfId="1493"/>
    <cellStyle name="Vírgula 9 15" xfId="1494"/>
    <cellStyle name="Vírgula 9 16" xfId="2096"/>
    <cellStyle name="Vírgula 9 2" xfId="1495"/>
    <cellStyle name="Vírgula 9 3" xfId="1496"/>
    <cellStyle name="Vírgula 9 4" xfId="1497"/>
    <cellStyle name="Vírgula 9 5" xfId="1498"/>
    <cellStyle name="Vírgula 9 6" xfId="1499"/>
    <cellStyle name="Vírgula 9 7" xfId="1500"/>
    <cellStyle name="Vírgula 9 8" xfId="1501"/>
    <cellStyle name="Vírgula 9 9" xfId="1502"/>
    <cellStyle name="Warning 1" xfId="2097"/>
    <cellStyle name="Warning 2" xfId="2098"/>
    <cellStyle name="Warning Text" xfId="288"/>
    <cellStyle name="Warning_Planilha Orçamentária - Conde Dolabela - Gustavo Barbi" xfId="2099"/>
  </cellStyles>
  <dxfs count="104"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FB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DFB2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339090</xdr:colOff>
      <xdr:row>0</xdr:row>
      <xdr:rowOff>45720</xdr:rowOff>
    </xdr:from>
    <xdr:to>
      <xdr:col>4</xdr:col>
      <xdr:colOff>333384</xdr:colOff>
      <xdr:row>0</xdr:row>
      <xdr:rowOff>685800</xdr:rowOff>
    </xdr:to>
    <xdr:sp macro="" textlink="" fLocksText="0">
      <xdr:nvSpPr>
        <xdr:cNvPr id="1025" name="CustomShape 1"/>
        <xdr:cNvSpPr>
          <a:spLocks noChangeArrowheads="1"/>
        </xdr:cNvSpPr>
      </xdr:nvSpPr>
      <xdr:spPr bwMode="auto">
        <a:xfrm>
          <a:off x="2034540" y="45720"/>
          <a:ext cx="4206240" cy="640080"/>
        </a:xfrm>
        <a:custGeom>
          <a:avLst/>
          <a:gdLst>
            <a:gd name="G0" fmla="+- 21600 0 0"/>
            <a:gd name="G1" fmla="+- 1 0 0"/>
            <a:gd name="G2" fmla="+- 65535 0 0"/>
            <a:gd name="G3" fmla="*/ 1 16385 2"/>
            <a:gd name="G4" fmla="*/ 1 51565 51712"/>
            <a:gd name="T0" fmla="*/ 0 w 21600"/>
            <a:gd name="T1" fmla="*/ 0 h 21600"/>
            <a:gd name="T2" fmla="*/ 21600 w 21600"/>
            <a:gd name="T3" fmla="*/ 0 h 21600"/>
            <a:gd name="T4" fmla="*/ 21600 w 21600"/>
            <a:gd name="T5" fmla="*/ 21600 h 21600"/>
            <a:gd name="T6" fmla="*/ 0 w 21600"/>
            <a:gd name="T7" fmla="*/ 21600 h 21600"/>
            <a:gd name="T8" fmla="*/ 0 w 21600"/>
            <a:gd name="T9" fmla="*/ 0 h 21600"/>
            <a:gd name="T10" fmla="*/ 0 w 21600"/>
            <a:gd name="T11" fmla="*/ 0 h 21600"/>
            <a:gd name="T12" fmla="*/ 21600 w 21600"/>
            <a:gd name="T13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T10" t="T11" r="T12" b="T1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ffectLst/>
        <a:extLst>
          <a:ext uri="{909E8E84-426E-40DD-AFC4-6F175D3DCCD1}"/>
          <a:ext uri="{91240B29-F687-4F45-9708-019B960494DF}"/>
          <a:ext uri="{AF507438-7753-43E0-B8FC-AC1667EBCBE1}"/>
        </a:extLst>
      </xdr:spPr>
      <xdr:txBody>
        <a:bodyPr vertOverflow="clip" wrap="square" lIns="27360" tIns="22680" rIns="0" bIns="0" anchor="t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LAGOA SANTA</a:t>
          </a:r>
        </a:p>
        <a:p>
          <a:pPr algn="ctr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Municipal de desenvolvimento Urbano</a:t>
          </a:r>
        </a:p>
        <a:p>
          <a:pPr algn="ctr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Diretoria de Obras</a:t>
          </a:r>
        </a:p>
      </xdr:txBody>
    </xdr:sp>
    <xdr:clientData/>
  </xdr:twoCellAnchor>
  <xdr:twoCellAnchor>
    <xdr:from>
      <xdr:col>0</xdr:col>
      <xdr:colOff>66675</xdr:colOff>
      <xdr:row>0</xdr:row>
      <xdr:rowOff>38100</xdr:rowOff>
    </xdr:from>
    <xdr:to>
      <xdr:col>1</xdr:col>
      <xdr:colOff>733425</xdr:colOff>
      <xdr:row>0</xdr:row>
      <xdr:rowOff>762000</xdr:rowOff>
    </xdr:to>
    <xdr:pic>
      <xdr:nvPicPr>
        <xdr:cNvPr id="10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8100"/>
          <a:ext cx="1352550" cy="7239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D%20DELL\PMLS\PARA%20LICITAR\CRECHE-GALP&#195;O\PARA%20LICITA&#199;&#195;O\descritivos\Meus%20documentos\Egesa-antigos\TO-134\Meus%20Documentos\FV-DN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D%20DELL\PMLS\PARA%20LICITAR\CRECHE-GALP&#195;O\PARA%20LICITA&#199;&#195;O\descritivos\Meus%20documentos\Egesa-antigos\TO-134\0798\TECNICO\TEACOMP\LOTE06\P09\P10\RELAT6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rquivos%20internos\Quadro%20de%20quantidades\ORCA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D%20DELL\PMLS\PARA%20LICITAR\CRECHE-GALP&#195;O\PARA%20LICITA&#199;&#195;O\descritivos\Meus%20documentos\EGESA\Br-482mg\Volume1\CANA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D%20DELL\PMLS\PARA%20LICITAR\CRECHE-GALP&#195;O\PARA%20LICITA&#199;&#195;O\PMLS\MODELO%20PLANILHA%20E%20BDI%20ATUALIZAD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D%20DELL\PMLS\PARA%20LICITAR\CRECHE-GALP&#195;O\PARA%20LICITA&#199;&#195;O\descritivos\Projetos\Marcilio\TO-010\Meus%20documentos\EGESA\Br-482mg\Volume1\CANA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  <sheetName val="MODELO PLANILHA E BDI ATUALIZ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qorcamentodner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showGridLines="0" showZeros="0" tabSelected="1" view="pageBreakPreview" zoomScaleNormal="85" zoomScaleSheetLayoutView="100" workbookViewId="0">
      <selection activeCell="I30" sqref="I30"/>
    </sheetView>
  </sheetViews>
  <sheetFormatPr defaultColWidth="9.28515625" defaultRowHeight="12.75"/>
  <cols>
    <col min="1" max="1" width="8" style="1" customWidth="1"/>
    <col min="2" max="2" width="16.5703125" style="1" customWidth="1"/>
    <col min="3" max="3" width="50.28515625" style="1" customWidth="1"/>
    <col min="4" max="4" width="11.28515625" style="1" customWidth="1"/>
    <col min="5" max="5" width="14.7109375" style="1" customWidth="1"/>
    <col min="6" max="6" width="14.28515625" style="1" customWidth="1"/>
    <col min="7" max="7" width="13.140625" style="1" customWidth="1"/>
    <col min="8" max="8" width="15.140625" style="1" customWidth="1"/>
    <col min="9" max="9" width="19.140625" style="1" customWidth="1"/>
    <col min="10" max="10" width="9.28515625" style="1" customWidth="1"/>
    <col min="11" max="11" width="12.5703125" style="1" customWidth="1"/>
    <col min="12" max="12" width="9.28515625" style="1" customWidth="1"/>
    <col min="13" max="13" width="25.7109375" style="1" customWidth="1"/>
    <col min="14" max="16384" width="9.28515625" style="1"/>
  </cols>
  <sheetData>
    <row r="1" spans="1:8" ht="60.75" customHeight="1">
      <c r="A1" s="207"/>
      <c r="B1" s="207"/>
      <c r="C1" s="208"/>
      <c r="D1" s="208"/>
      <c r="E1" s="208"/>
      <c r="F1" s="208"/>
      <c r="G1" s="208"/>
      <c r="H1" s="208"/>
    </row>
    <row r="2" spans="1:8" ht="3.75" customHeight="1">
      <c r="A2" s="209"/>
      <c r="B2" s="209"/>
      <c r="C2" s="209"/>
      <c r="D2" s="209"/>
      <c r="E2" s="209"/>
      <c r="F2" s="209"/>
      <c r="G2" s="209"/>
      <c r="H2" s="209"/>
    </row>
    <row r="3" spans="1:8" ht="20.100000000000001" customHeight="1">
      <c r="A3" s="210" t="s">
        <v>0</v>
      </c>
      <c r="B3" s="210"/>
      <c r="C3" s="210"/>
      <c r="D3" s="210"/>
      <c r="E3" s="210"/>
      <c r="F3" s="210"/>
      <c r="G3" s="210"/>
      <c r="H3" s="210"/>
    </row>
    <row r="4" spans="1:8" ht="3.75" customHeight="1">
      <c r="A4" s="209"/>
      <c r="B4" s="209"/>
      <c r="C4" s="209"/>
      <c r="D4" s="209"/>
      <c r="E4" s="209"/>
      <c r="F4" s="209"/>
      <c r="G4" s="209"/>
      <c r="H4" s="209"/>
    </row>
    <row r="5" spans="1:8" ht="20.100000000000001" customHeight="1">
      <c r="A5" s="211" t="s">
        <v>1</v>
      </c>
      <c r="B5" s="211"/>
      <c r="C5" s="211"/>
      <c r="D5" s="211"/>
      <c r="E5" s="211"/>
      <c r="F5" s="212" t="s">
        <v>2</v>
      </c>
      <c r="G5" s="212"/>
      <c r="H5" s="212"/>
    </row>
    <row r="6" spans="1:8" ht="21" customHeight="1">
      <c r="A6" s="213" t="s">
        <v>108</v>
      </c>
      <c r="B6" s="213"/>
      <c r="C6" s="213"/>
      <c r="D6" s="213"/>
      <c r="E6" s="213"/>
      <c r="F6" s="214" t="s">
        <v>101</v>
      </c>
      <c r="G6" s="214"/>
      <c r="H6" s="214"/>
    </row>
    <row r="7" spans="1:8" ht="25.5" customHeight="1">
      <c r="A7" s="213" t="s">
        <v>3</v>
      </c>
      <c r="B7" s="213"/>
      <c r="C7" s="213"/>
      <c r="D7" s="213"/>
      <c r="E7" s="212" t="s">
        <v>4</v>
      </c>
      <c r="F7" s="212"/>
      <c r="G7" s="212"/>
      <c r="H7" s="212"/>
    </row>
    <row r="8" spans="1:8" ht="27.75" customHeight="1">
      <c r="A8" s="215" t="s">
        <v>120</v>
      </c>
      <c r="B8" s="216"/>
      <c r="C8" s="216"/>
      <c r="D8" s="217"/>
      <c r="E8" s="218" t="s">
        <v>5</v>
      </c>
      <c r="F8" s="219" t="s">
        <v>119</v>
      </c>
      <c r="G8" s="220" t="s">
        <v>6</v>
      </c>
      <c r="H8" s="220"/>
    </row>
    <row r="9" spans="1:8" ht="20.100000000000001" customHeight="1">
      <c r="A9" s="213" t="s">
        <v>7</v>
      </c>
      <c r="B9" s="213"/>
      <c r="C9" s="213"/>
      <c r="D9" s="213"/>
      <c r="E9" s="218"/>
      <c r="F9" s="219"/>
      <c r="G9" s="221">
        <v>0.31480000000000002</v>
      </c>
      <c r="H9" s="221"/>
    </row>
    <row r="10" spans="1:8" ht="3.75" customHeight="1">
      <c r="A10" s="225"/>
      <c r="B10" s="225"/>
      <c r="C10" s="225"/>
      <c r="D10" s="225"/>
      <c r="E10" s="225"/>
      <c r="F10" s="225"/>
      <c r="G10" s="225"/>
      <c r="H10" s="225"/>
    </row>
    <row r="11" spans="1:8" ht="38.25">
      <c r="A11" s="2" t="s">
        <v>8</v>
      </c>
      <c r="B11" s="3" t="s">
        <v>9</v>
      </c>
      <c r="C11" s="3" t="s">
        <v>10</v>
      </c>
      <c r="D11" s="3" t="s">
        <v>11</v>
      </c>
      <c r="E11" s="3" t="s">
        <v>12</v>
      </c>
      <c r="F11" s="4" t="s">
        <v>13</v>
      </c>
      <c r="G11" s="4" t="s">
        <v>14</v>
      </c>
      <c r="H11" s="5" t="s">
        <v>15</v>
      </c>
    </row>
    <row r="12" spans="1:8">
      <c r="A12" s="49"/>
      <c r="B12" s="50"/>
      <c r="C12" s="53" t="s">
        <v>86</v>
      </c>
      <c r="D12" s="50"/>
      <c r="E12" s="50"/>
      <c r="F12" s="51"/>
      <c r="G12" s="51"/>
      <c r="H12" s="52"/>
    </row>
    <row r="13" spans="1:8" ht="25.5">
      <c r="A13" s="55">
        <v>1</v>
      </c>
      <c r="B13" s="46"/>
      <c r="C13" s="54" t="s">
        <v>77</v>
      </c>
      <c r="D13" s="46"/>
      <c r="E13" s="46"/>
      <c r="F13" s="47"/>
      <c r="G13" s="47"/>
      <c r="H13" s="48"/>
    </row>
    <row r="14" spans="1:8" ht="25.5">
      <c r="A14" s="45" t="s">
        <v>87</v>
      </c>
      <c r="B14" s="60" t="s">
        <v>60</v>
      </c>
      <c r="C14" s="61" t="s">
        <v>59</v>
      </c>
      <c r="D14" s="60" t="s">
        <v>16</v>
      </c>
      <c r="E14" s="56">
        <f>'COMPOSIÇÃO POR ITEM'!J3*1000</f>
        <v>637.5</v>
      </c>
      <c r="F14" s="179">
        <v>22.38</v>
      </c>
      <c r="G14" s="57">
        <f>ROUND(F14*(1+$G$9),2)</f>
        <v>29.43</v>
      </c>
      <c r="H14" s="58">
        <f>G14*E14</f>
        <v>18761.625</v>
      </c>
    </row>
    <row r="15" spans="1:8" ht="25.5">
      <c r="A15" s="45" t="s">
        <v>88</v>
      </c>
      <c r="B15" s="60" t="s">
        <v>73</v>
      </c>
      <c r="C15" s="136" t="s">
        <v>72</v>
      </c>
      <c r="D15" s="60" t="s">
        <v>16</v>
      </c>
      <c r="E15" s="56">
        <f>'COMPOSIÇÃO POR ITEM'!J4*1000</f>
        <v>892.5</v>
      </c>
      <c r="F15" s="179">
        <v>44.76</v>
      </c>
      <c r="G15" s="57">
        <f t="shared" ref="G15:G25" si="0">ROUND(F15*(1+$G$9),2)</f>
        <v>58.85</v>
      </c>
      <c r="H15" s="58">
        <f t="shared" ref="H15:H25" si="1">G15*E15</f>
        <v>52523.625</v>
      </c>
    </row>
    <row r="16" spans="1:8" ht="18" customHeight="1">
      <c r="A16" s="45" t="s">
        <v>89</v>
      </c>
      <c r="B16" s="60" t="s">
        <v>99</v>
      </c>
      <c r="C16" s="139" t="s">
        <v>100</v>
      </c>
      <c r="D16" s="60" t="s">
        <v>61</v>
      </c>
      <c r="E16" s="56">
        <f>'COMPOSIÇÃO POR ITEM'!J5*1000</f>
        <v>27215.649999999998</v>
      </c>
      <c r="F16" s="179">
        <v>12.21</v>
      </c>
      <c r="G16" s="57">
        <f t="shared" si="0"/>
        <v>16.05</v>
      </c>
      <c r="H16" s="58">
        <f t="shared" si="1"/>
        <v>436811.1825</v>
      </c>
    </row>
    <row r="17" spans="1:12" ht="38.25">
      <c r="A17" s="45" t="s">
        <v>90</v>
      </c>
      <c r="B17" s="60" t="s">
        <v>65</v>
      </c>
      <c r="C17" s="136" t="s">
        <v>64</v>
      </c>
      <c r="D17" s="60" t="s">
        <v>52</v>
      </c>
      <c r="E17" s="56">
        <f>'COMPOSIÇÃO POR ITEM'!J6*1000</f>
        <v>490.875</v>
      </c>
      <c r="F17" s="179">
        <v>454.55</v>
      </c>
      <c r="G17" s="57">
        <f t="shared" si="0"/>
        <v>597.64</v>
      </c>
      <c r="H17" s="58">
        <f t="shared" si="1"/>
        <v>293366.53499999997</v>
      </c>
      <c r="I17" s="59"/>
      <c r="J17" s="59"/>
      <c r="K17" s="59"/>
      <c r="L17" s="59"/>
    </row>
    <row r="18" spans="1:12" ht="51">
      <c r="A18" s="45" t="s">
        <v>91</v>
      </c>
      <c r="B18" s="60" t="s">
        <v>62</v>
      </c>
      <c r="C18" s="61" t="s">
        <v>63</v>
      </c>
      <c r="D18" s="60" t="s">
        <v>52</v>
      </c>
      <c r="E18" s="56">
        <f>'COMPOSIÇÃO POR ITEM'!J7*1000</f>
        <v>42.075000000000003</v>
      </c>
      <c r="F18" s="179">
        <v>436.07</v>
      </c>
      <c r="G18" s="57">
        <f t="shared" si="0"/>
        <v>573.34</v>
      </c>
      <c r="H18" s="58">
        <f t="shared" si="1"/>
        <v>24123.280500000004</v>
      </c>
      <c r="I18" s="59"/>
      <c r="J18" s="59"/>
      <c r="K18" s="59"/>
      <c r="L18" s="59"/>
    </row>
    <row r="19" spans="1:12" ht="38.25">
      <c r="A19" s="45" t="s">
        <v>92</v>
      </c>
      <c r="B19" s="60" t="s">
        <v>67</v>
      </c>
      <c r="C19" s="136" t="s">
        <v>66</v>
      </c>
      <c r="D19" s="60" t="s">
        <v>17</v>
      </c>
      <c r="E19" s="56">
        <f>'COMPOSIÇÃO POR ITEM'!J8*1000</f>
        <v>4052.5</v>
      </c>
      <c r="F19" s="179">
        <v>47.51</v>
      </c>
      <c r="G19" s="57">
        <f t="shared" si="0"/>
        <v>62.47</v>
      </c>
      <c r="H19" s="58">
        <f t="shared" si="1"/>
        <v>253159.67499999999</v>
      </c>
      <c r="I19" s="59"/>
      <c r="J19" s="59"/>
      <c r="K19" s="59"/>
      <c r="L19" s="59"/>
    </row>
    <row r="20" spans="1:12" ht="25.5">
      <c r="A20" s="45" t="s">
        <v>93</v>
      </c>
      <c r="B20" s="62" t="s">
        <v>80</v>
      </c>
      <c r="C20" s="63" t="s">
        <v>81</v>
      </c>
      <c r="D20" s="60" t="s">
        <v>52</v>
      </c>
      <c r="E20" s="56">
        <f>'COMPOSIÇÃO POR ITEM'!J9*1000</f>
        <v>258.82500000000005</v>
      </c>
      <c r="F20" s="179">
        <v>50.72</v>
      </c>
      <c r="G20" s="57">
        <f t="shared" si="0"/>
        <v>66.69</v>
      </c>
      <c r="H20" s="58">
        <f t="shared" si="1"/>
        <v>17261.039250000002</v>
      </c>
    </row>
    <row r="21" spans="1:12" ht="51">
      <c r="A21" s="45" t="s">
        <v>94</v>
      </c>
      <c r="B21" s="60" t="s">
        <v>69</v>
      </c>
      <c r="C21" s="137" t="s">
        <v>68</v>
      </c>
      <c r="D21" s="60" t="s">
        <v>17</v>
      </c>
      <c r="E21" s="56">
        <f>'COMPOSIÇÃO POR ITEM'!J10*1000</f>
        <v>1420</v>
      </c>
      <c r="F21" s="179">
        <v>54.57</v>
      </c>
      <c r="G21" s="57">
        <f t="shared" si="0"/>
        <v>71.75</v>
      </c>
      <c r="H21" s="58">
        <f t="shared" si="1"/>
        <v>101885</v>
      </c>
    </row>
    <row r="22" spans="1:12" ht="25.5">
      <c r="A22" s="45" t="s">
        <v>95</v>
      </c>
      <c r="B22" s="65">
        <v>102725</v>
      </c>
      <c r="C22" s="64" t="s">
        <v>70</v>
      </c>
      <c r="D22" s="60" t="s">
        <v>58</v>
      </c>
      <c r="E22" s="56">
        <f>'COMPOSIÇÃO POR ITEM'!J11*1000</f>
        <v>2250</v>
      </c>
      <c r="F22" s="179">
        <v>24.51</v>
      </c>
      <c r="G22" s="57">
        <f t="shared" si="0"/>
        <v>32.229999999999997</v>
      </c>
      <c r="H22" s="58">
        <f t="shared" si="1"/>
        <v>72517.5</v>
      </c>
    </row>
    <row r="23" spans="1:12" ht="25.5">
      <c r="A23" s="45" t="s">
        <v>96</v>
      </c>
      <c r="B23" s="60" t="s">
        <v>82</v>
      </c>
      <c r="C23" s="64" t="s">
        <v>83</v>
      </c>
      <c r="D23" s="60" t="s">
        <v>17</v>
      </c>
      <c r="E23" s="56">
        <f>'COMPOSIÇÃO POR ITEM'!J12*1000</f>
        <v>2500</v>
      </c>
      <c r="F23" s="179">
        <v>7.71</v>
      </c>
      <c r="G23" s="57">
        <f t="shared" si="0"/>
        <v>10.14</v>
      </c>
      <c r="H23" s="58">
        <f t="shared" si="1"/>
        <v>25350</v>
      </c>
    </row>
    <row r="24" spans="1:12" ht="25.5">
      <c r="A24" s="45" t="s">
        <v>97</v>
      </c>
      <c r="B24" s="60" t="s">
        <v>85</v>
      </c>
      <c r="C24" s="137" t="s">
        <v>84</v>
      </c>
      <c r="D24" s="60" t="s">
        <v>52</v>
      </c>
      <c r="E24" s="56">
        <f>'COMPOSIÇÃO POR ITEM'!J13*1000</f>
        <v>750</v>
      </c>
      <c r="F24" s="179">
        <v>119.32</v>
      </c>
      <c r="G24" s="57">
        <f t="shared" si="0"/>
        <v>156.88</v>
      </c>
      <c r="H24" s="58">
        <f t="shared" si="1"/>
        <v>117660</v>
      </c>
    </row>
    <row r="25" spans="1:12" ht="21" customHeight="1">
      <c r="A25" s="45" t="s">
        <v>98</v>
      </c>
      <c r="B25" s="60" t="s">
        <v>74</v>
      </c>
      <c r="C25" s="64" t="s">
        <v>75</v>
      </c>
      <c r="D25" s="60" t="s">
        <v>52</v>
      </c>
      <c r="E25" s="56">
        <f>'COMPOSIÇÃO POR ITEM'!J14*1000</f>
        <v>1192.5</v>
      </c>
      <c r="F25" s="179">
        <v>50.72</v>
      </c>
      <c r="G25" s="57">
        <f t="shared" si="0"/>
        <v>66.69</v>
      </c>
      <c r="H25" s="58">
        <f t="shared" si="1"/>
        <v>79527.824999999997</v>
      </c>
    </row>
    <row r="26" spans="1:12" ht="30.75" customHeight="1">
      <c r="A26" s="226" t="s">
        <v>18</v>
      </c>
      <c r="B26" s="226"/>
      <c r="C26" s="226"/>
      <c r="D26" s="226"/>
      <c r="E26" s="226"/>
      <c r="F26" s="226"/>
      <c r="G26" s="226"/>
      <c r="H26" s="6">
        <f>SUM(H14:H25)</f>
        <v>1492947.2872499998</v>
      </c>
      <c r="I26" s="90"/>
      <c r="K26" s="10"/>
    </row>
    <row r="27" spans="1:12" ht="20.25" customHeight="1">
      <c r="A27" s="7"/>
      <c r="B27" s="8"/>
      <c r="C27" s="8"/>
      <c r="D27" s="8"/>
      <c r="E27" s="8"/>
      <c r="F27" s="8"/>
      <c r="G27" s="8"/>
      <c r="H27" s="9"/>
    </row>
    <row r="28" spans="1:12" ht="20.25" customHeight="1">
      <c r="A28" s="230" t="s">
        <v>76</v>
      </c>
      <c r="B28" s="231"/>
      <c r="C28" s="231"/>
      <c r="D28" s="8"/>
      <c r="E28" s="8"/>
      <c r="F28" s="8"/>
      <c r="G28" s="8"/>
      <c r="H28" s="9"/>
      <c r="I28" s="10"/>
    </row>
    <row r="29" spans="1:12" ht="20.25" customHeight="1">
      <c r="A29" s="227"/>
      <c r="B29" s="227"/>
      <c r="C29" s="227"/>
      <c r="D29" s="227"/>
      <c r="E29" s="227"/>
      <c r="F29" s="227"/>
      <c r="G29" s="227"/>
      <c r="H29" s="227"/>
    </row>
    <row r="30" spans="1:12" ht="22.5" customHeight="1">
      <c r="A30" s="228" t="s">
        <v>50</v>
      </c>
      <c r="B30" s="228"/>
      <c r="C30" s="228"/>
      <c r="D30" s="228"/>
      <c r="E30" s="228"/>
      <c r="F30" s="228"/>
      <c r="G30" s="228"/>
      <c r="H30" s="228"/>
    </row>
    <row r="31" spans="1:12" ht="15.75" customHeight="1">
      <c r="A31" s="229" t="s">
        <v>51</v>
      </c>
      <c r="B31" s="229"/>
      <c r="C31" s="229"/>
      <c r="D31" s="229"/>
      <c r="E31" s="229"/>
      <c r="F31" s="229"/>
      <c r="G31" s="229"/>
      <c r="H31" s="229"/>
    </row>
    <row r="32" spans="1:12" ht="14.1" customHeight="1">
      <c r="A32" s="224"/>
      <c r="B32" s="224"/>
      <c r="C32" s="224"/>
      <c r="D32" s="224"/>
      <c r="E32" s="224"/>
      <c r="F32" s="224"/>
      <c r="G32" s="224"/>
      <c r="H32" s="224"/>
    </row>
    <row r="33" spans="1:8" ht="16.5" customHeight="1">
      <c r="A33" s="222"/>
      <c r="B33" s="222"/>
      <c r="C33" s="222"/>
      <c r="D33" s="222"/>
      <c r="E33" s="222"/>
      <c r="F33" s="222"/>
      <c r="G33" s="222"/>
      <c r="H33" s="222"/>
    </row>
    <row r="34" spans="1:8">
      <c r="A34" s="11"/>
      <c r="H34" s="12"/>
    </row>
    <row r="35" spans="1:8">
      <c r="A35" s="11"/>
      <c r="H35" s="12"/>
    </row>
    <row r="36" spans="1:8" ht="12.75" customHeight="1">
      <c r="A36" s="223"/>
      <c r="B36" s="223"/>
      <c r="C36" s="223"/>
      <c r="D36" s="223"/>
      <c r="E36" s="223"/>
      <c r="F36" s="223"/>
      <c r="G36" s="223"/>
      <c r="H36" s="223"/>
    </row>
    <row r="37" spans="1:8" ht="12.75" customHeight="1">
      <c r="A37" s="223"/>
      <c r="B37" s="223"/>
      <c r="C37" s="223"/>
      <c r="D37" s="223"/>
      <c r="E37" s="223"/>
      <c r="F37" s="223"/>
      <c r="G37" s="223"/>
      <c r="H37" s="223"/>
    </row>
    <row r="38" spans="1:8">
      <c r="A38" s="13"/>
      <c r="B38" s="14"/>
      <c r="C38" s="14"/>
      <c r="D38" s="14"/>
      <c r="E38" s="14"/>
      <c r="F38" s="14"/>
      <c r="G38" s="14"/>
      <c r="H38" s="15"/>
    </row>
  </sheetData>
  <sheetProtection selectLockedCells="1" selectUnlockedCells="1"/>
  <mergeCells count="26">
    <mergeCell ref="A33:H33"/>
    <mergeCell ref="A36:H37"/>
    <mergeCell ref="A32:H32"/>
    <mergeCell ref="A10:H10"/>
    <mergeCell ref="A26:G26"/>
    <mergeCell ref="A29:H29"/>
    <mergeCell ref="A30:H30"/>
    <mergeCell ref="A31:H31"/>
    <mergeCell ref="A28:C28"/>
    <mergeCell ref="A6:E6"/>
    <mergeCell ref="F6:H6"/>
    <mergeCell ref="A7:D7"/>
    <mergeCell ref="E7:H7"/>
    <mergeCell ref="A8:D8"/>
    <mergeCell ref="E8:E9"/>
    <mergeCell ref="F8:F9"/>
    <mergeCell ref="G8:H8"/>
    <mergeCell ref="A9:D9"/>
    <mergeCell ref="G9:H9"/>
    <mergeCell ref="A1:B1"/>
    <mergeCell ref="C1:H1"/>
    <mergeCell ref="A2:H2"/>
    <mergeCell ref="A3:H3"/>
    <mergeCell ref="A5:E5"/>
    <mergeCell ref="F5:H5"/>
    <mergeCell ref="A4:H4"/>
  </mergeCells>
  <conditionalFormatting sqref="B14:B16 D14:D16 C14:C15 B17:D25">
    <cfRule type="expression" dxfId="103" priority="29" stopIfTrue="1">
      <formula>AND(#REF!&lt;&gt;"COMPOSICAO",#REF!&lt;&gt;"INSUMO",#REF!&lt;&gt;"")</formula>
    </cfRule>
    <cfRule type="expression" dxfId="102" priority="30" stopIfTrue="1">
      <formula>AND(OR(#REF!="COMPOSICAO",#REF!="INSUMO",#REF!&lt;&gt;""),#REF!&lt;&gt;"")</formula>
    </cfRule>
  </conditionalFormatting>
  <conditionalFormatting sqref="B14:B16 D14:D16 C14:C15 B17:D25">
    <cfRule type="expression" dxfId="101" priority="27" stopIfTrue="1">
      <formula>AND(#REF!&lt;&gt;"COMPOSICAO",#REF!&lt;&gt;"INSUMO",#REF!&lt;&gt;"")</formula>
    </cfRule>
    <cfRule type="expression" dxfId="100" priority="28" stopIfTrue="1">
      <formula>AND(OR(#REF!="COMPOSICAO",#REF!="INSUMO",#REF!&lt;&gt;""),#REF!&lt;&gt;"")</formula>
    </cfRule>
  </conditionalFormatting>
  <conditionalFormatting sqref="B18:B19 B25 B16 D16:D17">
    <cfRule type="expression" dxfId="99" priority="25" stopIfTrue="1">
      <formula>AND(#REF!&lt;&gt;"COMPOSICAO",#REF!&lt;&gt;"INSUMO",#REF!&lt;&gt;"")</formula>
    </cfRule>
    <cfRule type="expression" dxfId="98" priority="26" stopIfTrue="1">
      <formula>AND(OR(#REF!="COMPOSICAO",#REF!="INSUMO",#REF!&lt;&gt;""),#REF!&lt;&gt;"")</formula>
    </cfRule>
  </conditionalFormatting>
  <conditionalFormatting sqref="B20 B14:C14">
    <cfRule type="expression" dxfId="97" priority="23" stopIfTrue="1">
      <formula>AND(#REF!&lt;&gt;"COMPOSICAO",#REF!&lt;&gt;"INSUMO",#REF!&lt;&gt;"")</formula>
    </cfRule>
    <cfRule type="expression" dxfId="96" priority="24" stopIfTrue="1">
      <formula>AND(OR(#REF!="COMPOSICAO",#REF!="INSUMO",#REF!&lt;&gt;""),#REF!&lt;&gt;"")</formula>
    </cfRule>
  </conditionalFormatting>
  <conditionalFormatting sqref="B18:B19 B24:B25">
    <cfRule type="expression" dxfId="95" priority="15" stopIfTrue="1">
      <formula>AND(#REF!&lt;&gt;"COMPOSICAO",#REF!&lt;&gt;"INSUMO",#REF!&lt;&gt;"")</formula>
    </cfRule>
    <cfRule type="expression" dxfId="94" priority="16" stopIfTrue="1">
      <formula>AND(OR(#REF!="COMPOSICAO",#REF!="INSUMO",#REF!&lt;&gt;""),#REF!&lt;&gt;"")</formula>
    </cfRule>
  </conditionalFormatting>
  <conditionalFormatting sqref="B20">
    <cfRule type="expression" dxfId="93" priority="11" stopIfTrue="1">
      <formula>AND(#REF!&lt;&gt;"COMPOSICAO",#REF!&lt;&gt;"INSUMO",#REF!&lt;&gt;"")</formula>
    </cfRule>
    <cfRule type="expression" dxfId="92" priority="12" stopIfTrue="1">
      <formula>AND(OR(#REF!="COMPOSICAO",#REF!="INSUMO",#REF!&lt;&gt;""),#REF!&lt;&gt;"")</formula>
    </cfRule>
  </conditionalFormatting>
  <conditionalFormatting sqref="C18:D19 C24:D25">
    <cfRule type="expression" dxfId="91" priority="5" stopIfTrue="1">
      <formula>AND(#REF!&lt;&gt;"COMPOSICAO",#REF!&lt;&gt;"INSUMO",#REF!&lt;&gt;"")</formula>
    </cfRule>
    <cfRule type="expression" dxfId="90" priority="6" stopIfTrue="1">
      <formula>AND(OR(#REF!="COMPOSICAO",#REF!="INSUMO",#REF!&lt;&gt;""),#REF!&lt;&gt;"")</formula>
    </cfRule>
  </conditionalFormatting>
  <conditionalFormatting sqref="C20">
    <cfRule type="expression" dxfId="89" priority="1" stopIfTrue="1">
      <formula>AND(#REF!&lt;&gt;"COMPOSICAO",#REF!&lt;&gt;"INSUMO",#REF!&lt;&gt;"")</formula>
    </cfRule>
    <cfRule type="expression" dxfId="88" priority="2" stopIfTrue="1">
      <formula>AND(OR(#REF!="COMPOSICAO",#REF!="INSUMO",#REF!&lt;&gt;""),#REF!&lt;&gt;"")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70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9"/>
  <sheetViews>
    <sheetView showZeros="0" view="pageBreakPreview" topLeftCell="B1" zoomScaleNormal="80" zoomScaleSheetLayoutView="100" workbookViewId="0">
      <selection activeCell="K4" sqref="K4:L60"/>
    </sheetView>
  </sheetViews>
  <sheetFormatPr defaultColWidth="9.28515625" defaultRowHeight="15"/>
  <cols>
    <col min="1" max="1" width="6.28515625" style="16" customWidth="1"/>
    <col min="2" max="2" width="15.5703125" style="16" customWidth="1"/>
    <col min="3" max="3" width="10.140625" style="16" customWidth="1"/>
    <col min="4" max="4" width="83.28515625" style="16" customWidth="1"/>
    <col min="5" max="5" width="11.28515625" style="16" customWidth="1"/>
    <col min="6" max="6" width="16" style="16" customWidth="1"/>
    <col min="7" max="7" width="16" style="120" customWidth="1"/>
    <col min="8" max="8" width="12.5703125" style="16" customWidth="1"/>
    <col min="9" max="9" width="14.7109375" style="16" customWidth="1"/>
    <col min="10" max="10" width="14.7109375" style="120" customWidth="1"/>
    <col min="11" max="16384" width="9.28515625" style="16"/>
  </cols>
  <sheetData>
    <row r="1" spans="1:11" ht="36.75" customHeight="1">
      <c r="A1" s="68">
        <v>1</v>
      </c>
      <c r="B1" s="232" t="s">
        <v>116</v>
      </c>
      <c r="C1" s="233"/>
      <c r="D1" s="116" t="s">
        <v>53</v>
      </c>
      <c r="E1" s="175" t="s">
        <v>57</v>
      </c>
      <c r="F1" s="176" t="s">
        <v>113</v>
      </c>
      <c r="G1" s="176"/>
      <c r="H1" s="177"/>
      <c r="I1" s="178"/>
      <c r="J1" s="105"/>
    </row>
    <row r="2" spans="1:11" ht="22.5">
      <c r="A2" s="69"/>
      <c r="B2" s="29" t="s">
        <v>19</v>
      </c>
      <c r="C2" s="29" t="s">
        <v>20</v>
      </c>
      <c r="D2" s="28" t="s">
        <v>10</v>
      </c>
      <c r="E2" s="29" t="s">
        <v>11</v>
      </c>
      <c r="F2" s="30" t="s">
        <v>21</v>
      </c>
      <c r="G2" s="125" t="s">
        <v>109</v>
      </c>
      <c r="H2" s="30" t="s">
        <v>22</v>
      </c>
      <c r="I2" s="70" t="s">
        <v>15</v>
      </c>
      <c r="J2" s="117"/>
      <c r="K2" s="67"/>
    </row>
    <row r="3" spans="1:11">
      <c r="A3" s="69"/>
      <c r="B3" s="126" t="s">
        <v>114</v>
      </c>
      <c r="C3" s="101" t="s">
        <v>60</v>
      </c>
      <c r="D3" s="108" t="s">
        <v>59</v>
      </c>
      <c r="E3" s="35" t="s">
        <v>16</v>
      </c>
      <c r="F3" s="66">
        <v>2</v>
      </c>
      <c r="G3" s="138">
        <f>F3*51</f>
        <v>102</v>
      </c>
      <c r="H3" s="129">
        <v>22.38</v>
      </c>
      <c r="I3" s="71">
        <f>ROUND(F3*H3,2)</f>
        <v>44.76</v>
      </c>
      <c r="J3" s="104"/>
    </row>
    <row r="4" spans="1:11">
      <c r="A4" s="69"/>
      <c r="B4" s="126" t="s">
        <v>114</v>
      </c>
      <c r="C4" s="100" t="s">
        <v>99</v>
      </c>
      <c r="D4" s="106" t="s">
        <v>100</v>
      </c>
      <c r="E4" s="35" t="s">
        <v>61</v>
      </c>
      <c r="F4" s="66">
        <v>19.03</v>
      </c>
      <c r="G4" s="138">
        <f>(15.12*51)+(3.91*100)</f>
        <v>1162.1199999999999</v>
      </c>
      <c r="H4" s="129">
        <v>12.21</v>
      </c>
      <c r="I4" s="71">
        <f t="shared" ref="I4:I13" si="0">ROUND(F4*H4,2)</f>
        <v>232.36</v>
      </c>
      <c r="J4" s="104"/>
    </row>
    <row r="5" spans="1:11" ht="22.5">
      <c r="A5" s="69"/>
      <c r="B5" s="126" t="s">
        <v>114</v>
      </c>
      <c r="C5" s="99" t="s">
        <v>65</v>
      </c>
      <c r="D5" s="108" t="s">
        <v>64</v>
      </c>
      <c r="E5" s="35" t="s">
        <v>52</v>
      </c>
      <c r="F5" s="36">
        <f>ROUND(4.04/12,2)</f>
        <v>0.34</v>
      </c>
      <c r="G5" s="129">
        <f>F5*51</f>
        <v>17.34</v>
      </c>
      <c r="H5" s="129">
        <v>454.55</v>
      </c>
      <c r="I5" s="71">
        <f t="shared" si="0"/>
        <v>154.55000000000001</v>
      </c>
      <c r="J5" s="104"/>
    </row>
    <row r="6" spans="1:11" ht="22.5">
      <c r="A6" s="69"/>
      <c r="B6" s="126" t="s">
        <v>114</v>
      </c>
      <c r="C6" s="99" t="s">
        <v>62</v>
      </c>
      <c r="D6" s="108" t="s">
        <v>63</v>
      </c>
      <c r="E6" s="35" t="s">
        <v>52</v>
      </c>
      <c r="F6" s="36">
        <f>ROUND(0.36/12,2)</f>
        <v>0.03</v>
      </c>
      <c r="G6" s="129">
        <f>F6*51</f>
        <v>1.53</v>
      </c>
      <c r="H6" s="129">
        <v>436.07</v>
      </c>
      <c r="I6" s="71">
        <f t="shared" si="0"/>
        <v>13.08</v>
      </c>
      <c r="J6" s="104"/>
    </row>
    <row r="7" spans="1:11">
      <c r="A7" s="69"/>
      <c r="B7" s="126" t="s">
        <v>114</v>
      </c>
      <c r="C7" s="99" t="s">
        <v>67</v>
      </c>
      <c r="D7" s="34" t="s">
        <v>66</v>
      </c>
      <c r="E7" s="35" t="s">
        <v>17</v>
      </c>
      <c r="F7" s="41">
        <f>ROUND(16.64/12,2)</f>
        <v>1.39</v>
      </c>
      <c r="G7" s="129">
        <f t="shared" ref="G7:G13" si="1">F7*100</f>
        <v>139</v>
      </c>
      <c r="H7" s="129">
        <v>47.51</v>
      </c>
      <c r="I7" s="71">
        <f t="shared" si="0"/>
        <v>66.040000000000006</v>
      </c>
      <c r="J7" s="104"/>
    </row>
    <row r="8" spans="1:11">
      <c r="A8" s="69"/>
      <c r="B8" s="126" t="s">
        <v>114</v>
      </c>
      <c r="C8" s="99" t="s">
        <v>80</v>
      </c>
      <c r="D8" s="107" t="s">
        <v>81</v>
      </c>
      <c r="E8" s="35" t="s">
        <v>52</v>
      </c>
      <c r="F8" s="18">
        <f>ROUND(0.3*0.5*1,2)</f>
        <v>0.15</v>
      </c>
      <c r="G8" s="129">
        <f>F8*51</f>
        <v>7.6499999999999995</v>
      </c>
      <c r="H8" s="129">
        <v>50.72</v>
      </c>
      <c r="I8" s="71">
        <f t="shared" si="0"/>
        <v>7.61</v>
      </c>
      <c r="J8" s="104"/>
    </row>
    <row r="9" spans="1:11" ht="22.5">
      <c r="A9" s="69"/>
      <c r="B9" s="126" t="s">
        <v>114</v>
      </c>
      <c r="C9" s="99" t="s">
        <v>69</v>
      </c>
      <c r="D9" s="37" t="s">
        <v>68</v>
      </c>
      <c r="E9" s="35" t="s">
        <v>17</v>
      </c>
      <c r="F9" s="18">
        <f>ROUND(0.8*0.8,2)</f>
        <v>0.64</v>
      </c>
      <c r="G9" s="129">
        <f t="shared" si="1"/>
        <v>64</v>
      </c>
      <c r="H9" s="129">
        <v>54.57</v>
      </c>
      <c r="I9" s="71">
        <f t="shared" si="0"/>
        <v>34.92</v>
      </c>
      <c r="J9" s="104"/>
    </row>
    <row r="10" spans="1:11">
      <c r="A10" s="69"/>
      <c r="B10" s="126" t="s">
        <v>117</v>
      </c>
      <c r="C10" s="99">
        <v>102725</v>
      </c>
      <c r="D10" s="37" t="s">
        <v>70</v>
      </c>
      <c r="E10" s="35" t="s">
        <v>58</v>
      </c>
      <c r="F10" s="18">
        <v>1.5</v>
      </c>
      <c r="G10" s="129">
        <f t="shared" si="1"/>
        <v>150</v>
      </c>
      <c r="H10" s="129">
        <v>24.51</v>
      </c>
      <c r="I10" s="71">
        <f t="shared" si="0"/>
        <v>36.770000000000003</v>
      </c>
      <c r="J10" s="104"/>
    </row>
    <row r="11" spans="1:11">
      <c r="A11" s="69"/>
      <c r="B11" s="126" t="s">
        <v>114</v>
      </c>
      <c r="C11" s="100" t="s">
        <v>82</v>
      </c>
      <c r="D11" s="42" t="s">
        <v>83</v>
      </c>
      <c r="E11" s="35" t="s">
        <v>17</v>
      </c>
      <c r="F11" s="18">
        <v>1</v>
      </c>
      <c r="G11" s="129">
        <f t="shared" si="1"/>
        <v>100</v>
      </c>
      <c r="H11" s="133">
        <v>7.71</v>
      </c>
      <c r="I11" s="71">
        <f t="shared" si="0"/>
        <v>7.71</v>
      </c>
      <c r="J11" s="104"/>
    </row>
    <row r="12" spans="1:11">
      <c r="A12" s="69"/>
      <c r="B12" s="126" t="s">
        <v>114</v>
      </c>
      <c r="C12" s="100" t="s">
        <v>85</v>
      </c>
      <c r="D12" s="42" t="s">
        <v>84</v>
      </c>
      <c r="E12" s="35" t="s">
        <v>52</v>
      </c>
      <c r="F12" s="18">
        <v>0.3</v>
      </c>
      <c r="G12" s="129">
        <f t="shared" si="1"/>
        <v>30</v>
      </c>
      <c r="H12" s="133">
        <v>119.32</v>
      </c>
      <c r="I12" s="71">
        <f t="shared" ref="I12" si="2">ROUND(F12*H12,2)</f>
        <v>35.799999999999997</v>
      </c>
      <c r="J12" s="104"/>
    </row>
    <row r="13" spans="1:11">
      <c r="A13" s="69"/>
      <c r="B13" s="126" t="s">
        <v>114</v>
      </c>
      <c r="C13" s="99" t="s">
        <v>74</v>
      </c>
      <c r="D13" s="37" t="s">
        <v>75</v>
      </c>
      <c r="E13" s="35" t="s">
        <v>52</v>
      </c>
      <c r="F13" s="18">
        <f>ROUND(0.21*1,2)</f>
        <v>0.21</v>
      </c>
      <c r="G13" s="129">
        <f t="shared" si="1"/>
        <v>21</v>
      </c>
      <c r="H13" s="129">
        <v>50.72</v>
      </c>
      <c r="I13" s="71">
        <f t="shared" si="0"/>
        <v>10.65</v>
      </c>
      <c r="J13" s="104"/>
    </row>
    <row r="14" spans="1:11" ht="15.75" thickBot="1">
      <c r="A14" s="73"/>
      <c r="B14" s="38" t="s">
        <v>23</v>
      </c>
      <c r="C14" s="39"/>
      <c r="D14" s="39"/>
      <c r="E14" s="39"/>
      <c r="F14" s="39"/>
      <c r="G14" s="128"/>
      <c r="H14" s="40"/>
      <c r="I14" s="74">
        <f>SUM(I3:I13)</f>
        <v>644.24999999999989</v>
      </c>
      <c r="J14" s="103"/>
    </row>
    <row r="15" spans="1:11" ht="15.75" thickBot="1">
      <c r="A15" s="69"/>
      <c r="B15" s="21"/>
      <c r="C15" s="21"/>
      <c r="D15" s="21"/>
      <c r="E15" s="21"/>
      <c r="F15" s="21"/>
      <c r="G15" s="123"/>
      <c r="H15" s="21"/>
      <c r="I15" s="75"/>
      <c r="J15" s="102"/>
    </row>
    <row r="16" spans="1:11" ht="34.5" customHeight="1">
      <c r="A16" s="76">
        <v>2</v>
      </c>
      <c r="B16" s="234" t="s">
        <v>71</v>
      </c>
      <c r="C16" s="235"/>
      <c r="D16" s="24" t="s">
        <v>54</v>
      </c>
      <c r="E16" s="25"/>
      <c r="F16" s="26"/>
      <c r="G16" s="26"/>
      <c r="H16" s="27"/>
      <c r="I16" s="77"/>
      <c r="J16" s="105"/>
    </row>
    <row r="17" spans="1:10" ht="22.5">
      <c r="A17" s="69"/>
      <c r="B17" s="29" t="s">
        <v>19</v>
      </c>
      <c r="C17" s="29" t="s">
        <v>20</v>
      </c>
      <c r="D17" s="28" t="s">
        <v>10</v>
      </c>
      <c r="E17" s="29" t="s">
        <v>11</v>
      </c>
      <c r="F17" s="30" t="s">
        <v>21</v>
      </c>
      <c r="G17" s="125" t="s">
        <v>109</v>
      </c>
      <c r="H17" s="30" t="s">
        <v>22</v>
      </c>
      <c r="I17" s="70" t="s">
        <v>15</v>
      </c>
      <c r="J17" s="117"/>
    </row>
    <row r="18" spans="1:10">
      <c r="A18" s="69"/>
      <c r="B18" s="126" t="s">
        <v>114</v>
      </c>
      <c r="C18" s="101" t="s">
        <v>60</v>
      </c>
      <c r="D18" s="108" t="s">
        <v>59</v>
      </c>
      <c r="E18" s="35" t="s">
        <v>16</v>
      </c>
      <c r="F18" s="66">
        <v>3</v>
      </c>
      <c r="G18" s="138">
        <f>F18*51</f>
        <v>153</v>
      </c>
      <c r="H18" s="129">
        <v>22.38</v>
      </c>
      <c r="I18" s="71">
        <f t="shared" ref="I18:I28" si="3">ROUND(F18*H18,2)</f>
        <v>67.14</v>
      </c>
      <c r="J18" s="104"/>
    </row>
    <row r="19" spans="1:10">
      <c r="A19" s="69"/>
      <c r="B19" s="126" t="s">
        <v>114</v>
      </c>
      <c r="C19" s="100" t="s">
        <v>99</v>
      </c>
      <c r="D19" s="106" t="s">
        <v>100</v>
      </c>
      <c r="E19" s="35" t="s">
        <v>61</v>
      </c>
      <c r="F19" s="66">
        <v>20.82</v>
      </c>
      <c r="G19" s="138">
        <f>(13.2*51)+(7.62*100)</f>
        <v>1435.1999999999998</v>
      </c>
      <c r="H19" s="129">
        <f t="shared" ref="H19:H28" si="4">H4</f>
        <v>12.21</v>
      </c>
      <c r="I19" s="71">
        <f t="shared" si="3"/>
        <v>254.21</v>
      </c>
      <c r="J19" s="104"/>
    </row>
    <row r="20" spans="1:10" ht="22.5">
      <c r="A20" s="69"/>
      <c r="B20" s="126" t="s">
        <v>114</v>
      </c>
      <c r="C20" s="99" t="s">
        <v>65</v>
      </c>
      <c r="D20" s="108" t="s">
        <v>64</v>
      </c>
      <c r="E20" s="35" t="s">
        <v>52</v>
      </c>
      <c r="F20" s="36">
        <f>ROUND(7.97/12,2)</f>
        <v>0.66</v>
      </c>
      <c r="G20" s="129">
        <f>F20*51</f>
        <v>33.660000000000004</v>
      </c>
      <c r="H20" s="129">
        <f t="shared" si="4"/>
        <v>454.55</v>
      </c>
      <c r="I20" s="71">
        <f t="shared" si="3"/>
        <v>300</v>
      </c>
      <c r="J20" s="104"/>
    </row>
    <row r="21" spans="1:10" ht="22.5">
      <c r="A21" s="69"/>
      <c r="B21" s="126" t="s">
        <v>114</v>
      </c>
      <c r="C21" s="99" t="s">
        <v>62</v>
      </c>
      <c r="D21" s="108" t="s">
        <v>63</v>
      </c>
      <c r="E21" s="35" t="s">
        <v>52</v>
      </c>
      <c r="F21" s="36">
        <f>ROUND(0.72/12,2)</f>
        <v>0.06</v>
      </c>
      <c r="G21" s="129">
        <f>F21*51</f>
        <v>3.06</v>
      </c>
      <c r="H21" s="129">
        <f t="shared" si="4"/>
        <v>436.07</v>
      </c>
      <c r="I21" s="71">
        <f t="shared" si="3"/>
        <v>26.16</v>
      </c>
      <c r="J21" s="104"/>
    </row>
    <row r="22" spans="1:10">
      <c r="A22" s="69"/>
      <c r="B22" s="126" t="s">
        <v>114</v>
      </c>
      <c r="C22" s="99" t="s">
        <v>67</v>
      </c>
      <c r="D22" s="34" t="s">
        <v>66</v>
      </c>
      <c r="E22" s="35" t="s">
        <v>17</v>
      </c>
      <c r="F22" s="41">
        <f>ROUND(30.6/12,2)</f>
        <v>2.5499999999999998</v>
      </c>
      <c r="G22" s="129">
        <f t="shared" ref="G22:G28" si="5">F22*100</f>
        <v>254.99999999999997</v>
      </c>
      <c r="H22" s="129">
        <f t="shared" si="4"/>
        <v>47.51</v>
      </c>
      <c r="I22" s="71">
        <f t="shared" si="3"/>
        <v>121.15</v>
      </c>
      <c r="J22" s="104"/>
    </row>
    <row r="23" spans="1:10">
      <c r="A23" s="69"/>
      <c r="B23" s="126" t="s">
        <v>114</v>
      </c>
      <c r="C23" s="99" t="s">
        <v>80</v>
      </c>
      <c r="D23" s="107" t="s">
        <v>81</v>
      </c>
      <c r="E23" s="35" t="s">
        <v>52</v>
      </c>
      <c r="F23" s="18">
        <f>ROUND(0.6*0.5*1,2)</f>
        <v>0.3</v>
      </c>
      <c r="G23" s="129">
        <f>F23*51</f>
        <v>15.299999999999999</v>
      </c>
      <c r="H23" s="133">
        <f t="shared" si="4"/>
        <v>50.72</v>
      </c>
      <c r="I23" s="71">
        <f t="shared" si="3"/>
        <v>15.22</v>
      </c>
      <c r="J23" s="104"/>
    </row>
    <row r="24" spans="1:10" ht="22.5">
      <c r="A24" s="69"/>
      <c r="B24" s="126" t="s">
        <v>114</v>
      </c>
      <c r="C24" s="99" t="s">
        <v>69</v>
      </c>
      <c r="D24" s="37" t="s">
        <v>68</v>
      </c>
      <c r="E24" s="35" t="s">
        <v>17</v>
      </c>
      <c r="F24" s="18">
        <f>ROUND(1.4*0.8,2)</f>
        <v>1.1200000000000001</v>
      </c>
      <c r="G24" s="129">
        <f t="shared" si="5"/>
        <v>112.00000000000001</v>
      </c>
      <c r="H24" s="129">
        <f t="shared" si="4"/>
        <v>54.57</v>
      </c>
      <c r="I24" s="71">
        <f t="shared" si="3"/>
        <v>61.12</v>
      </c>
      <c r="J24" s="104"/>
    </row>
    <row r="25" spans="1:10">
      <c r="A25" s="69"/>
      <c r="B25" s="126" t="s">
        <v>117</v>
      </c>
      <c r="C25" s="99">
        <v>102725</v>
      </c>
      <c r="D25" s="37" t="s">
        <v>70</v>
      </c>
      <c r="E25" s="35" t="s">
        <v>58</v>
      </c>
      <c r="F25" s="18">
        <f>1.5</f>
        <v>1.5</v>
      </c>
      <c r="G25" s="129">
        <f t="shared" si="5"/>
        <v>150</v>
      </c>
      <c r="H25" s="129">
        <f t="shared" si="4"/>
        <v>24.51</v>
      </c>
      <c r="I25" s="71">
        <f t="shared" si="3"/>
        <v>36.770000000000003</v>
      </c>
      <c r="J25" s="104"/>
    </row>
    <row r="26" spans="1:10">
      <c r="A26" s="69"/>
      <c r="B26" s="126" t="s">
        <v>114</v>
      </c>
      <c r="C26" s="100" t="s">
        <v>82</v>
      </c>
      <c r="D26" s="42" t="s">
        <v>83</v>
      </c>
      <c r="E26" s="35" t="s">
        <v>17</v>
      </c>
      <c r="F26" s="18">
        <f>2</f>
        <v>2</v>
      </c>
      <c r="G26" s="129">
        <f t="shared" si="5"/>
        <v>200</v>
      </c>
      <c r="H26" s="133">
        <f t="shared" si="4"/>
        <v>7.71</v>
      </c>
      <c r="I26" s="71">
        <f t="shared" si="3"/>
        <v>15.42</v>
      </c>
      <c r="J26" s="104"/>
    </row>
    <row r="27" spans="1:10">
      <c r="A27" s="69"/>
      <c r="B27" s="126" t="s">
        <v>114</v>
      </c>
      <c r="C27" s="100" t="s">
        <v>85</v>
      </c>
      <c r="D27" s="42" t="s">
        <v>84</v>
      </c>
      <c r="E27" s="35" t="s">
        <v>52</v>
      </c>
      <c r="F27" s="18">
        <f>ROUND(0.3*2,2)</f>
        <v>0.6</v>
      </c>
      <c r="G27" s="129">
        <f t="shared" si="5"/>
        <v>60</v>
      </c>
      <c r="H27" s="133">
        <f t="shared" si="4"/>
        <v>119.32</v>
      </c>
      <c r="I27" s="71">
        <f t="shared" ref="I27" si="6">ROUND(F27*H27,2)</f>
        <v>71.59</v>
      </c>
      <c r="J27" s="104"/>
    </row>
    <row r="28" spans="1:10">
      <c r="A28" s="69"/>
      <c r="B28" s="126" t="s">
        <v>114</v>
      </c>
      <c r="C28" s="99" t="s">
        <v>74</v>
      </c>
      <c r="D28" s="37" t="s">
        <v>75</v>
      </c>
      <c r="E28" s="35" t="s">
        <v>52</v>
      </c>
      <c r="F28" s="18">
        <f>ROUND(1.06*1,2)</f>
        <v>1.06</v>
      </c>
      <c r="G28" s="129">
        <f t="shared" si="5"/>
        <v>106</v>
      </c>
      <c r="H28" s="129">
        <f t="shared" si="4"/>
        <v>50.72</v>
      </c>
      <c r="I28" s="71">
        <f t="shared" si="3"/>
        <v>53.76</v>
      </c>
      <c r="J28" s="104"/>
    </row>
    <row r="29" spans="1:10" ht="15.75" thickBot="1">
      <c r="A29" s="73"/>
      <c r="B29" s="38" t="s">
        <v>23</v>
      </c>
      <c r="C29" s="19"/>
      <c r="D29" s="19"/>
      <c r="E29" s="19"/>
      <c r="F29" s="19"/>
      <c r="G29" s="122"/>
      <c r="H29" s="20"/>
      <c r="I29" s="74">
        <f>SUM(I18:I28)</f>
        <v>1022.54</v>
      </c>
      <c r="J29" s="103"/>
    </row>
    <row r="30" spans="1:10" ht="15.75" thickBot="1">
      <c r="A30" s="69"/>
      <c r="B30" s="21"/>
      <c r="C30" s="21"/>
      <c r="D30" s="21"/>
      <c r="E30" s="21"/>
      <c r="F30" s="21"/>
      <c r="G30" s="123"/>
      <c r="H30" s="21"/>
      <c r="I30" s="75"/>
      <c r="J30" s="102"/>
    </row>
    <row r="31" spans="1:10" ht="32.25" customHeight="1">
      <c r="A31" s="76">
        <v>3</v>
      </c>
      <c r="B31" s="234" t="s">
        <v>71</v>
      </c>
      <c r="C31" s="235"/>
      <c r="D31" s="24" t="s">
        <v>55</v>
      </c>
      <c r="E31" s="25"/>
      <c r="F31" s="26"/>
      <c r="G31" s="26"/>
      <c r="H31" s="27"/>
      <c r="I31" s="77"/>
      <c r="J31" s="105"/>
    </row>
    <row r="32" spans="1:10" ht="22.5">
      <c r="A32" s="69"/>
      <c r="B32" s="29" t="s">
        <v>19</v>
      </c>
      <c r="C32" s="29" t="s">
        <v>20</v>
      </c>
      <c r="D32" s="28" t="s">
        <v>10</v>
      </c>
      <c r="E32" s="29" t="s">
        <v>11</v>
      </c>
      <c r="F32" s="30" t="s">
        <v>21</v>
      </c>
      <c r="G32" s="125" t="s">
        <v>109</v>
      </c>
      <c r="H32" s="30" t="s">
        <v>22</v>
      </c>
      <c r="I32" s="70" t="s">
        <v>15</v>
      </c>
      <c r="J32" s="117"/>
    </row>
    <row r="33" spans="1:10" ht="21.75" customHeight="1">
      <c r="A33" s="69"/>
      <c r="B33" s="126" t="s">
        <v>114</v>
      </c>
      <c r="C33" s="92" t="s">
        <v>73</v>
      </c>
      <c r="D33" s="108" t="s">
        <v>72</v>
      </c>
      <c r="E33" s="35" t="s">
        <v>16</v>
      </c>
      <c r="F33" s="66">
        <v>3</v>
      </c>
      <c r="G33" s="138">
        <f>F33*51</f>
        <v>153</v>
      </c>
      <c r="H33" s="129">
        <v>44.76</v>
      </c>
      <c r="I33" s="71">
        <f t="shared" ref="I33:I43" si="7">ROUND(F33*H33,2)</f>
        <v>134.28</v>
      </c>
      <c r="J33" s="104"/>
    </row>
    <row r="34" spans="1:10" ht="21.75" customHeight="1">
      <c r="A34" s="69"/>
      <c r="B34" s="126" t="s">
        <v>114</v>
      </c>
      <c r="C34" s="100" t="s">
        <v>99</v>
      </c>
      <c r="D34" s="106" t="s">
        <v>100</v>
      </c>
      <c r="E34" s="35" t="s">
        <v>61</v>
      </c>
      <c r="F34" s="66">
        <v>54.46</v>
      </c>
      <c r="G34" s="138">
        <f>(37.37*51)+(17.09*100)</f>
        <v>3614.87</v>
      </c>
      <c r="H34" s="129">
        <f t="shared" ref="H34:H43" si="8">H19</f>
        <v>12.21</v>
      </c>
      <c r="I34" s="71">
        <f t="shared" si="7"/>
        <v>664.96</v>
      </c>
      <c r="J34" s="104"/>
    </row>
    <row r="35" spans="1:10" ht="21.75" customHeight="1">
      <c r="A35" s="69"/>
      <c r="B35" s="126" t="s">
        <v>114</v>
      </c>
      <c r="C35" s="99" t="s">
        <v>65</v>
      </c>
      <c r="D35" s="108" t="s">
        <v>64</v>
      </c>
      <c r="E35" s="35" t="s">
        <v>52</v>
      </c>
      <c r="F35" s="36">
        <f>ROUND(13.5/12,2)</f>
        <v>1.1299999999999999</v>
      </c>
      <c r="G35" s="129">
        <f>F35*51</f>
        <v>57.629999999999995</v>
      </c>
      <c r="H35" s="129">
        <f t="shared" si="8"/>
        <v>454.55</v>
      </c>
      <c r="I35" s="71">
        <f t="shared" si="7"/>
        <v>513.64</v>
      </c>
      <c r="J35" s="104"/>
    </row>
    <row r="36" spans="1:10" ht="21.75" customHeight="1">
      <c r="A36" s="69"/>
      <c r="B36" s="126" t="s">
        <v>114</v>
      </c>
      <c r="C36" s="99" t="s">
        <v>62</v>
      </c>
      <c r="D36" s="108" t="s">
        <v>63</v>
      </c>
      <c r="E36" s="35" t="s">
        <v>52</v>
      </c>
      <c r="F36" s="36">
        <f>ROUND(1.2/12,2)</f>
        <v>0.1</v>
      </c>
      <c r="G36" s="129">
        <f>F36*51</f>
        <v>5.1000000000000005</v>
      </c>
      <c r="H36" s="129">
        <f t="shared" si="8"/>
        <v>436.07</v>
      </c>
      <c r="I36" s="71">
        <f t="shared" si="7"/>
        <v>43.61</v>
      </c>
      <c r="J36" s="104"/>
    </row>
    <row r="37" spans="1:10" ht="21.75" customHeight="1">
      <c r="A37" s="69"/>
      <c r="B37" s="126" t="s">
        <v>114</v>
      </c>
      <c r="C37" s="99" t="s">
        <v>67</v>
      </c>
      <c r="D37" s="34" t="s">
        <v>66</v>
      </c>
      <c r="E37" s="35" t="s">
        <v>17</v>
      </c>
      <c r="F37" s="41">
        <f>ROUND(62.4/12,2)</f>
        <v>5.2</v>
      </c>
      <c r="G37" s="129">
        <f t="shared" ref="G37:G43" si="9">F37*100</f>
        <v>520</v>
      </c>
      <c r="H37" s="129">
        <f t="shared" si="8"/>
        <v>47.51</v>
      </c>
      <c r="I37" s="71">
        <f t="shared" si="7"/>
        <v>247.05</v>
      </c>
      <c r="J37" s="104"/>
    </row>
    <row r="38" spans="1:10" ht="21.75" customHeight="1">
      <c r="A38" s="69"/>
      <c r="B38" s="126" t="s">
        <v>114</v>
      </c>
      <c r="C38" s="99" t="s">
        <v>80</v>
      </c>
      <c r="D38" s="107" t="s">
        <v>81</v>
      </c>
      <c r="E38" s="35" t="s">
        <v>52</v>
      </c>
      <c r="F38" s="18">
        <f>ROUND(1*0.6*1,2)</f>
        <v>0.6</v>
      </c>
      <c r="G38" s="129">
        <f>F38*51</f>
        <v>30.599999999999998</v>
      </c>
      <c r="H38" s="133">
        <f t="shared" si="8"/>
        <v>50.72</v>
      </c>
      <c r="I38" s="71">
        <f t="shared" si="7"/>
        <v>30.43</v>
      </c>
      <c r="J38" s="104"/>
    </row>
    <row r="39" spans="1:10" ht="21.75" customHeight="1">
      <c r="A39" s="69"/>
      <c r="B39" s="126" t="s">
        <v>114</v>
      </c>
      <c r="C39" s="99" t="s">
        <v>69</v>
      </c>
      <c r="D39" s="37" t="s">
        <v>68</v>
      </c>
      <c r="E39" s="35" t="s">
        <v>17</v>
      </c>
      <c r="F39" s="18">
        <f>ROUND(2.1*0.8,2)</f>
        <v>1.68</v>
      </c>
      <c r="G39" s="129">
        <f t="shared" si="9"/>
        <v>168</v>
      </c>
      <c r="H39" s="129">
        <f t="shared" si="8"/>
        <v>54.57</v>
      </c>
      <c r="I39" s="71">
        <f t="shared" si="7"/>
        <v>91.68</v>
      </c>
      <c r="J39" s="104"/>
    </row>
    <row r="40" spans="1:10" ht="21.75" customHeight="1">
      <c r="A40" s="69"/>
      <c r="B40" s="126" t="s">
        <v>117</v>
      </c>
      <c r="C40" s="99">
        <v>102725</v>
      </c>
      <c r="D40" s="37" t="s">
        <v>70</v>
      </c>
      <c r="E40" s="35" t="s">
        <v>58</v>
      </c>
      <c r="F40" s="18">
        <f>2.5</f>
        <v>2.5</v>
      </c>
      <c r="G40" s="129">
        <f t="shared" si="9"/>
        <v>250</v>
      </c>
      <c r="H40" s="129">
        <f t="shared" si="8"/>
        <v>24.51</v>
      </c>
      <c r="I40" s="71">
        <f t="shared" si="7"/>
        <v>61.28</v>
      </c>
      <c r="J40" s="104"/>
    </row>
    <row r="41" spans="1:10" ht="21.75" customHeight="1">
      <c r="A41" s="69"/>
      <c r="B41" s="126" t="s">
        <v>114</v>
      </c>
      <c r="C41" s="100" t="s">
        <v>82</v>
      </c>
      <c r="D41" s="42" t="s">
        <v>83</v>
      </c>
      <c r="E41" s="35" t="s">
        <v>17</v>
      </c>
      <c r="F41" s="18">
        <f>3</f>
        <v>3</v>
      </c>
      <c r="G41" s="129">
        <f t="shared" si="9"/>
        <v>300</v>
      </c>
      <c r="H41" s="133">
        <f t="shared" si="8"/>
        <v>7.71</v>
      </c>
      <c r="I41" s="71">
        <f t="shared" si="7"/>
        <v>23.13</v>
      </c>
      <c r="J41" s="104"/>
    </row>
    <row r="42" spans="1:10">
      <c r="A42" s="69"/>
      <c r="B42" s="126" t="s">
        <v>114</v>
      </c>
      <c r="C42" s="100" t="s">
        <v>85</v>
      </c>
      <c r="D42" s="42" t="s">
        <v>84</v>
      </c>
      <c r="E42" s="35" t="s">
        <v>52</v>
      </c>
      <c r="F42" s="18">
        <f>ROUND(0.3*3,2)</f>
        <v>0.9</v>
      </c>
      <c r="G42" s="129">
        <f t="shared" si="9"/>
        <v>90</v>
      </c>
      <c r="H42" s="133">
        <f t="shared" si="8"/>
        <v>119.32</v>
      </c>
      <c r="I42" s="71">
        <f t="shared" si="7"/>
        <v>107.39</v>
      </c>
      <c r="J42" s="104"/>
    </row>
    <row r="43" spans="1:10">
      <c r="A43" s="69"/>
      <c r="B43" s="126" t="s">
        <v>114</v>
      </c>
      <c r="C43" s="99" t="s">
        <v>74</v>
      </c>
      <c r="D43" s="37" t="s">
        <v>75</v>
      </c>
      <c r="E43" s="35" t="s">
        <v>52</v>
      </c>
      <c r="F43" s="18">
        <f>ROUND(0.5*3,2)</f>
        <v>1.5</v>
      </c>
      <c r="G43" s="129">
        <f t="shared" si="9"/>
        <v>150</v>
      </c>
      <c r="H43" s="129">
        <f t="shared" si="8"/>
        <v>50.72</v>
      </c>
      <c r="I43" s="71">
        <f t="shared" si="7"/>
        <v>76.08</v>
      </c>
      <c r="J43" s="104"/>
    </row>
    <row r="44" spans="1:10" ht="15.75" thickBot="1">
      <c r="A44" s="73"/>
      <c r="B44" s="38" t="s">
        <v>23</v>
      </c>
      <c r="C44" s="19"/>
      <c r="D44" s="19"/>
      <c r="E44" s="19"/>
      <c r="F44" s="19"/>
      <c r="G44" s="122"/>
      <c r="H44" s="20"/>
      <c r="I44" s="74">
        <f>SUM(I33:I43)</f>
        <v>1993.5300000000002</v>
      </c>
      <c r="J44" s="103"/>
    </row>
    <row r="45" spans="1:10" ht="15.75" thickBot="1">
      <c r="A45" s="78"/>
      <c r="B45" s="21"/>
      <c r="C45" s="21"/>
      <c r="D45" s="21"/>
      <c r="E45" s="21"/>
      <c r="F45" s="21"/>
      <c r="G45" s="123"/>
      <c r="H45" s="21"/>
      <c r="I45" s="75"/>
      <c r="J45" s="102"/>
    </row>
    <row r="46" spans="1:10" ht="22.5">
      <c r="A46" s="76">
        <v>4</v>
      </c>
      <c r="B46" s="234" t="s">
        <v>71</v>
      </c>
      <c r="C46" s="235"/>
      <c r="D46" s="24" t="s">
        <v>56</v>
      </c>
      <c r="E46" s="31"/>
      <c r="F46" s="32"/>
      <c r="G46" s="32"/>
      <c r="H46" s="33"/>
      <c r="I46" s="79"/>
      <c r="J46" s="118"/>
    </row>
    <row r="47" spans="1:10" ht="22.5">
      <c r="A47" s="78"/>
      <c r="B47" s="29" t="s">
        <v>19</v>
      </c>
      <c r="C47" s="29" t="s">
        <v>20</v>
      </c>
      <c r="D47" s="28" t="s">
        <v>10</v>
      </c>
      <c r="E47" s="29" t="s">
        <v>11</v>
      </c>
      <c r="F47" s="30" t="s">
        <v>21</v>
      </c>
      <c r="G47" s="125" t="s">
        <v>109</v>
      </c>
      <c r="H47" s="30" t="s">
        <v>22</v>
      </c>
      <c r="I47" s="70" t="s">
        <v>15</v>
      </c>
      <c r="J47" s="117"/>
    </row>
    <row r="48" spans="1:10">
      <c r="A48" s="78"/>
      <c r="B48" s="126" t="s">
        <v>114</v>
      </c>
      <c r="C48" s="92" t="s">
        <v>73</v>
      </c>
      <c r="D48" s="108" t="s">
        <v>72</v>
      </c>
      <c r="E48" s="35" t="s">
        <v>16</v>
      </c>
      <c r="F48" s="66">
        <v>4</v>
      </c>
      <c r="G48" s="138">
        <f>F48*51</f>
        <v>204</v>
      </c>
      <c r="H48" s="129">
        <v>44.76</v>
      </c>
      <c r="I48" s="71">
        <f t="shared" ref="I48:I58" si="10">ROUND(F48*H48,2)</f>
        <v>179.04</v>
      </c>
      <c r="J48" s="104"/>
    </row>
    <row r="49" spans="1:12">
      <c r="A49" s="78"/>
      <c r="B49" s="126" t="s">
        <v>114</v>
      </c>
      <c r="C49" s="100" t="s">
        <v>99</v>
      </c>
      <c r="D49" s="106" t="s">
        <v>100</v>
      </c>
      <c r="E49" s="35" t="s">
        <v>61</v>
      </c>
      <c r="F49" s="66">
        <v>68.58</v>
      </c>
      <c r="G49" s="138">
        <f>(44.57*51)+(24.01*100)</f>
        <v>4674.07</v>
      </c>
      <c r="H49" s="129">
        <v>12.21</v>
      </c>
      <c r="I49" s="71">
        <f t="shared" si="10"/>
        <v>837.36</v>
      </c>
      <c r="J49" s="104"/>
    </row>
    <row r="50" spans="1:12" ht="22.5">
      <c r="A50" s="78"/>
      <c r="B50" s="126" t="s">
        <v>114</v>
      </c>
      <c r="C50" s="99" t="s">
        <v>65</v>
      </c>
      <c r="D50" s="108" t="s">
        <v>64</v>
      </c>
      <c r="E50" s="35" t="s">
        <v>52</v>
      </c>
      <c r="F50" s="36">
        <f>ROUND(20.64/12,2)</f>
        <v>1.72</v>
      </c>
      <c r="G50" s="129">
        <f>F50*51</f>
        <v>87.72</v>
      </c>
      <c r="H50" s="129">
        <v>454.55</v>
      </c>
      <c r="I50" s="71">
        <f t="shared" si="10"/>
        <v>781.83</v>
      </c>
      <c r="J50" s="104"/>
    </row>
    <row r="51" spans="1:12" ht="22.5">
      <c r="A51" s="78"/>
      <c r="B51" s="126" t="s">
        <v>114</v>
      </c>
      <c r="C51" s="99" t="s">
        <v>62</v>
      </c>
      <c r="D51" s="108" t="s">
        <v>63</v>
      </c>
      <c r="E51" s="35" t="s">
        <v>52</v>
      </c>
      <c r="F51" s="36">
        <f>ROUND(1.68/12,2)</f>
        <v>0.14000000000000001</v>
      </c>
      <c r="G51" s="129">
        <f>F51*51</f>
        <v>7.1400000000000006</v>
      </c>
      <c r="H51" s="129">
        <v>436.07</v>
      </c>
      <c r="I51" s="71">
        <f t="shared" si="10"/>
        <v>61.05</v>
      </c>
      <c r="J51" s="104"/>
    </row>
    <row r="52" spans="1:12">
      <c r="A52" s="78"/>
      <c r="B52" s="126" t="s">
        <v>114</v>
      </c>
      <c r="C52" s="99" t="s">
        <v>67</v>
      </c>
      <c r="D52" s="34" t="s">
        <v>66</v>
      </c>
      <c r="E52" s="35" t="s">
        <v>17</v>
      </c>
      <c r="F52" s="41">
        <f>ROUND(84.8/12,2)</f>
        <v>7.07</v>
      </c>
      <c r="G52" s="129">
        <f t="shared" ref="G52:G58" si="11">F52*100</f>
        <v>707</v>
      </c>
      <c r="H52" s="129">
        <v>47.51</v>
      </c>
      <c r="I52" s="71">
        <f t="shared" si="10"/>
        <v>335.9</v>
      </c>
      <c r="J52" s="104"/>
    </row>
    <row r="53" spans="1:12">
      <c r="A53" s="78"/>
      <c r="B53" s="126" t="s">
        <v>114</v>
      </c>
      <c r="C53" s="99" t="s">
        <v>80</v>
      </c>
      <c r="D53" s="107" t="s">
        <v>81</v>
      </c>
      <c r="E53" s="35" t="s">
        <v>52</v>
      </c>
      <c r="F53" s="18">
        <f>ROUND(1.4*0.7*1,2)</f>
        <v>0.98</v>
      </c>
      <c r="G53" s="129">
        <f>F53*51</f>
        <v>49.98</v>
      </c>
      <c r="H53" s="133">
        <v>50.72</v>
      </c>
      <c r="I53" s="71">
        <f t="shared" si="10"/>
        <v>49.71</v>
      </c>
      <c r="J53" s="104"/>
      <c r="L53" s="44"/>
    </row>
    <row r="54" spans="1:12" ht="22.5">
      <c r="A54" s="78"/>
      <c r="B54" s="126" t="s">
        <v>114</v>
      </c>
      <c r="C54" s="99" t="s">
        <v>69</v>
      </c>
      <c r="D54" s="37" t="s">
        <v>68</v>
      </c>
      <c r="E54" s="35" t="s">
        <v>17</v>
      </c>
      <c r="F54" s="18">
        <f>ROUND(2.8*0.8,2)</f>
        <v>2.2400000000000002</v>
      </c>
      <c r="G54" s="129">
        <f t="shared" si="11"/>
        <v>224.00000000000003</v>
      </c>
      <c r="H54" s="129">
        <v>54.57</v>
      </c>
      <c r="I54" s="71">
        <f t="shared" si="10"/>
        <v>122.24</v>
      </c>
      <c r="J54" s="104"/>
    </row>
    <row r="55" spans="1:12">
      <c r="A55" s="78"/>
      <c r="B55" s="126" t="s">
        <v>117</v>
      </c>
      <c r="C55" s="99">
        <v>102725</v>
      </c>
      <c r="D55" s="37" t="s">
        <v>70</v>
      </c>
      <c r="E55" s="35" t="s">
        <v>58</v>
      </c>
      <c r="F55" s="18">
        <f>3.5</f>
        <v>3.5</v>
      </c>
      <c r="G55" s="129">
        <f t="shared" si="11"/>
        <v>350</v>
      </c>
      <c r="H55" s="129">
        <f>H10</f>
        <v>24.51</v>
      </c>
      <c r="I55" s="71">
        <f t="shared" si="10"/>
        <v>85.79</v>
      </c>
      <c r="J55" s="104"/>
    </row>
    <row r="56" spans="1:12">
      <c r="A56" s="78"/>
      <c r="B56" s="126" t="s">
        <v>114</v>
      </c>
      <c r="C56" s="100" t="s">
        <v>82</v>
      </c>
      <c r="D56" s="42" t="s">
        <v>83</v>
      </c>
      <c r="E56" s="35" t="s">
        <v>17</v>
      </c>
      <c r="F56" s="18">
        <f>4</f>
        <v>4</v>
      </c>
      <c r="G56" s="129">
        <f t="shared" si="11"/>
        <v>400</v>
      </c>
      <c r="H56" s="133">
        <v>7.71</v>
      </c>
      <c r="I56" s="71">
        <f t="shared" si="10"/>
        <v>30.84</v>
      </c>
      <c r="J56" s="104"/>
    </row>
    <row r="57" spans="1:12">
      <c r="A57" s="78"/>
      <c r="B57" s="126" t="s">
        <v>114</v>
      </c>
      <c r="C57" s="100" t="s">
        <v>85</v>
      </c>
      <c r="D57" s="42" t="s">
        <v>84</v>
      </c>
      <c r="E57" s="35" t="s">
        <v>52</v>
      </c>
      <c r="F57" s="18">
        <f>ROUND(0.3*4,2)</f>
        <v>1.2</v>
      </c>
      <c r="G57" s="129">
        <f t="shared" si="11"/>
        <v>120</v>
      </c>
      <c r="H57" s="133">
        <v>119.32</v>
      </c>
      <c r="I57" s="71">
        <f t="shared" si="10"/>
        <v>143.18</v>
      </c>
      <c r="J57" s="104"/>
    </row>
    <row r="58" spans="1:12">
      <c r="A58" s="78"/>
      <c r="B58" s="126" t="s">
        <v>114</v>
      </c>
      <c r="C58" s="99" t="s">
        <v>74</v>
      </c>
      <c r="D58" s="37" t="s">
        <v>75</v>
      </c>
      <c r="E58" s="35" t="s">
        <v>52</v>
      </c>
      <c r="F58" s="18">
        <f>ROUND(0.5*4,2)</f>
        <v>2</v>
      </c>
      <c r="G58" s="129">
        <f t="shared" si="11"/>
        <v>200</v>
      </c>
      <c r="H58" s="129">
        <v>50.72</v>
      </c>
      <c r="I58" s="71">
        <f t="shared" si="10"/>
        <v>101.44</v>
      </c>
      <c r="J58" s="104"/>
    </row>
    <row r="59" spans="1:12" ht="15.75" thickBot="1">
      <c r="A59" s="80"/>
      <c r="B59" s="81" t="s">
        <v>23</v>
      </c>
      <c r="C59" s="82"/>
      <c r="D59" s="82"/>
      <c r="E59" s="82"/>
      <c r="F59" s="82"/>
      <c r="G59" s="82"/>
      <c r="H59" s="83"/>
      <c r="I59" s="84">
        <f>SUM(I48:I58)</f>
        <v>2728.3799999999997</v>
      </c>
      <c r="J59" s="103"/>
    </row>
    <row r="60" spans="1:12">
      <c r="A60" s="17"/>
      <c r="B60" s="21"/>
      <c r="C60" s="21"/>
      <c r="D60" s="21"/>
      <c r="E60" s="21"/>
      <c r="F60" s="21"/>
      <c r="G60" s="123"/>
      <c r="H60" s="21"/>
      <c r="I60" s="22"/>
      <c r="J60" s="102"/>
    </row>
    <row r="61" spans="1:12">
      <c r="B61" s="23"/>
      <c r="C61" s="23"/>
      <c r="D61" s="23"/>
      <c r="E61" s="23"/>
      <c r="F61" s="23"/>
      <c r="G61" s="124"/>
      <c r="H61" s="23"/>
      <c r="I61" s="23"/>
      <c r="J61" s="124"/>
    </row>
    <row r="62" spans="1:12">
      <c r="B62" s="23"/>
      <c r="C62" s="23"/>
      <c r="D62" s="23"/>
      <c r="E62" s="23"/>
      <c r="F62" s="23"/>
      <c r="G62" s="124"/>
      <c r="H62" s="23"/>
      <c r="I62" s="23"/>
      <c r="J62" s="124"/>
    </row>
    <row r="63" spans="1:12">
      <c r="B63" s="23"/>
      <c r="C63" s="23"/>
      <c r="D63" s="23"/>
      <c r="E63" s="23"/>
      <c r="F63" s="23"/>
      <c r="G63" s="124"/>
      <c r="H63" s="23"/>
      <c r="I63" s="23"/>
      <c r="J63" s="124"/>
    </row>
    <row r="64" spans="1:12">
      <c r="B64" s="23"/>
      <c r="C64" s="23"/>
      <c r="D64" s="23"/>
      <c r="E64" s="23"/>
      <c r="F64" s="23"/>
      <c r="G64" s="124"/>
      <c r="H64" s="23"/>
      <c r="I64" s="23"/>
      <c r="J64" s="124"/>
    </row>
    <row r="65" spans="2:10">
      <c r="B65" s="23"/>
      <c r="C65" s="23"/>
      <c r="D65" s="23"/>
      <c r="E65" s="23"/>
      <c r="F65" s="23"/>
      <c r="G65" s="124"/>
      <c r="H65" s="23"/>
      <c r="I65" s="23"/>
      <c r="J65" s="124"/>
    </row>
    <row r="66" spans="2:10">
      <c r="B66" s="23"/>
      <c r="C66" s="23"/>
      <c r="D66" s="23"/>
      <c r="E66" s="23"/>
      <c r="F66" s="23"/>
      <c r="G66" s="124"/>
      <c r="H66" s="23"/>
      <c r="I66" s="23"/>
      <c r="J66" s="124"/>
    </row>
    <row r="67" spans="2:10">
      <c r="B67" s="23"/>
      <c r="C67" s="23"/>
      <c r="D67" s="23"/>
      <c r="E67" s="23"/>
      <c r="F67" s="23"/>
      <c r="G67" s="124"/>
      <c r="H67" s="23"/>
      <c r="I67" s="23"/>
      <c r="J67" s="124"/>
    </row>
    <row r="68" spans="2:10">
      <c r="B68" s="23"/>
      <c r="C68" s="23"/>
      <c r="D68" s="23"/>
      <c r="E68" s="23"/>
      <c r="F68" s="23"/>
      <c r="G68" s="124"/>
      <c r="H68" s="23"/>
      <c r="I68" s="23"/>
      <c r="J68" s="124"/>
    </row>
    <row r="69" spans="2:10">
      <c r="B69" s="23"/>
      <c r="C69" s="23"/>
      <c r="D69" s="23"/>
      <c r="E69" s="23"/>
      <c r="F69" s="23"/>
      <c r="G69" s="124"/>
      <c r="H69" s="23"/>
      <c r="I69" s="23"/>
      <c r="J69" s="124"/>
    </row>
  </sheetData>
  <sheetProtection selectLockedCells="1" selectUnlockedCells="1"/>
  <mergeCells count="4">
    <mergeCell ref="B1:C1"/>
    <mergeCell ref="B16:C16"/>
    <mergeCell ref="B31:C31"/>
    <mergeCell ref="B46:C46"/>
  </mergeCells>
  <conditionalFormatting sqref="B43:J43 I33:J60 I14:J30 B3:J13 B18:J28 B33:H43 B48:H58">
    <cfRule type="expression" dxfId="87" priority="163" stopIfTrue="1">
      <formula>AND(#REF!&lt;&gt;"COMPOSICAO",#REF!&lt;&gt;"INSUMO",#REF!&lt;&gt;"")</formula>
    </cfRule>
    <cfRule type="expression" dxfId="86" priority="164" stopIfTrue="1">
      <formula>AND(OR(#REF!="COMPOSICAO",#REF!="INSUMO",#REF!&lt;&gt;""),#REF!&lt;&gt;"")</formula>
    </cfRule>
  </conditionalFormatting>
  <conditionalFormatting sqref="I48:J59 B48:H58">
    <cfRule type="expression" dxfId="85" priority="161" stopIfTrue="1">
      <formula>AND(#REF!&lt;&gt;"COMPOSICAO",#REF!&lt;&gt;"INSUMO",#REF!&lt;&gt;"")</formula>
    </cfRule>
    <cfRule type="expression" dxfId="84" priority="162" stopIfTrue="1">
      <formula>AND(OR(#REF!="COMPOSICAO",#REF!="INSUMO",#REF!&lt;&gt;""),#REF!&lt;&gt;"")</formula>
    </cfRule>
  </conditionalFormatting>
  <conditionalFormatting sqref="B6:J6 D7:E7">
    <cfRule type="expression" dxfId="83" priority="159" stopIfTrue="1">
      <formula>AND(#REF!&lt;&gt;"COMPOSICAO",#REF!&lt;&gt;"INSUMO",#REF!&lt;&gt;"")</formula>
    </cfRule>
    <cfRule type="expression" dxfId="82" priority="160" stopIfTrue="1">
      <formula>AND(OR(#REF!="COMPOSICAO",#REF!="INSUMO",#REF!&lt;&gt;""),#REF!&lt;&gt;"")</formula>
    </cfRule>
  </conditionalFormatting>
  <conditionalFormatting sqref="B57:H58 B51:H51 E50 C52:E52 B52:B54 B42:J43 B36:H36 E35 C37:E37 B37:B39 B21:J21 E20 C22:E22 B22:B24 E5 C7 B7:B9 E7 C4:D4 B19:J19 H23 B34:J34 H38 H41:H42 C41:D42 B49:J49 C26:D28 C11:D13 B28:E28 B13:E13 H26:H28 H11:H13 H53 H56:H57 C56:D57">
    <cfRule type="expression" dxfId="81" priority="157" stopIfTrue="1">
      <formula>AND(#REF!&lt;&gt;"COMPOSICAO",#REF!&lt;&gt;"INSUMO",#REF!&lt;&gt;"")</formula>
    </cfRule>
    <cfRule type="expression" dxfId="80" priority="158" stopIfTrue="1">
      <formula>AND(OR(#REF!="COMPOSICAO",#REF!="INSUMO",#REF!&lt;&gt;""),#REF!&lt;&gt;"")</formula>
    </cfRule>
  </conditionalFormatting>
  <conditionalFormatting sqref="L53">
    <cfRule type="expression" dxfId="79" priority="123" stopIfTrue="1">
      <formula>AND(#REF!&lt;&gt;"COMPOSICAO",#REF!&lt;&gt;"INSUMO",#REF!&lt;&gt;"")</formula>
    </cfRule>
    <cfRule type="expression" dxfId="78" priority="124" stopIfTrue="1">
      <formula>AND(OR(#REF!="COMPOSICAO",#REF!="INSUMO",#REF!&lt;&gt;""),#REF!&lt;&gt;"")</formula>
    </cfRule>
  </conditionalFormatting>
  <conditionalFormatting sqref="L53">
    <cfRule type="expression" dxfId="77" priority="121" stopIfTrue="1">
      <formula>AND(#REF!&lt;&gt;"COMPOSICAO",#REF!&lt;&gt;"INSUMO",#REF!&lt;&gt;"")</formula>
    </cfRule>
    <cfRule type="expression" dxfId="76" priority="122" stopIfTrue="1">
      <formula>AND(OR(#REF!="COMPOSICAO",#REF!="INSUMO",#REF!&lt;&gt;""),#REF!&lt;&gt;"")</formula>
    </cfRule>
  </conditionalFormatting>
  <conditionalFormatting sqref="H53">
    <cfRule type="expression" dxfId="75" priority="119" stopIfTrue="1">
      <formula>AND(#REF!&lt;&gt;"COMPOSICAO",#REF!&lt;&gt;"INSUMO",#REF!&lt;&gt;"")</formula>
    </cfRule>
    <cfRule type="expression" dxfId="74" priority="120" stopIfTrue="1">
      <formula>AND(OR(#REF!="COMPOSICAO",#REF!="INSUMO",#REF!&lt;&gt;""),#REF!&lt;&gt;"")</formula>
    </cfRule>
  </conditionalFormatting>
  <conditionalFormatting sqref="B11:B13">
    <cfRule type="expression" dxfId="73" priority="1" stopIfTrue="1">
      <formula>AND(#REF!&lt;&gt;"COMPOSICAO",#REF!&lt;&gt;"INSUMO",#REF!&lt;&gt;"")</formula>
    </cfRule>
    <cfRule type="expression" dxfId="72" priority="2" stopIfTrue="1">
      <formula>AND(OR(#REF!="COMPOSICAO",#REF!="INSUMO",#REF!&lt;&gt;""),#REF!&lt;&gt;"")</formula>
    </cfRule>
  </conditionalFormatting>
  <printOptions horizontalCentered="1" verticalCentered="1"/>
  <pageMargins left="0.31496062992125984" right="0.31496062992125984" top="0.59055118110236227" bottom="0.59055118110236227" header="0.51181102362204722" footer="0.51181102362204722"/>
  <pageSetup paperSize="9" scale="70" firstPageNumber="0" orientation="landscape" horizontalDpi="300" verticalDpi="300" r:id="rId1"/>
  <headerFooter alignWithMargins="0"/>
  <rowBreaks count="1" manualBreakCount="1">
    <brk id="30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25"/>
  <sheetViews>
    <sheetView showZeros="0" view="pageBreakPreview" zoomScaleNormal="80" zoomScaleSheetLayoutView="100" workbookViewId="0">
      <selection activeCell="L24" sqref="L24"/>
    </sheetView>
  </sheetViews>
  <sheetFormatPr defaultColWidth="9.28515625" defaultRowHeight="15"/>
  <cols>
    <col min="1" max="1" width="6.42578125" style="16" customWidth="1"/>
    <col min="2" max="2" width="16.5703125" style="16" customWidth="1"/>
    <col min="3" max="3" width="9.7109375" style="16" bestFit="1" customWidth="1"/>
    <col min="4" max="4" width="79.5703125" style="16" bestFit="1" customWidth="1"/>
    <col min="5" max="5" width="9.140625" style="16" customWidth="1"/>
    <col min="6" max="6" width="13.140625" style="16" customWidth="1"/>
    <col min="7" max="7" width="9.85546875" style="16" bestFit="1" customWidth="1"/>
    <col min="8" max="8" width="16.140625" style="120" customWidth="1"/>
    <col min="9" max="9" width="7.42578125" style="16" customWidth="1"/>
    <col min="10" max="10" width="13.42578125" style="16" bestFit="1" customWidth="1"/>
    <col min="11" max="11" width="14.42578125" style="120" bestFit="1" customWidth="1"/>
    <col min="12" max="12" width="20.85546875" style="16" customWidth="1"/>
    <col min="13" max="16384" width="9.28515625" style="16"/>
  </cols>
  <sheetData>
    <row r="1" spans="1:12" ht="30" customHeight="1">
      <c r="A1" s="85"/>
      <c r="B1" s="239" t="s">
        <v>115</v>
      </c>
      <c r="C1" s="240"/>
      <c r="D1" s="116" t="s">
        <v>77</v>
      </c>
      <c r="E1" s="115"/>
      <c r="F1" s="114"/>
      <c r="G1" s="113"/>
      <c r="H1" s="113"/>
      <c r="I1" s="114"/>
      <c r="J1" s="112"/>
      <c r="K1" s="112"/>
    </row>
    <row r="2" spans="1:12" ht="27.75" customHeight="1">
      <c r="A2" s="86"/>
      <c r="B2" s="111" t="s">
        <v>19</v>
      </c>
      <c r="C2" s="111" t="s">
        <v>20</v>
      </c>
      <c r="D2" s="89" t="s">
        <v>10</v>
      </c>
      <c r="E2" s="111" t="s">
        <v>11</v>
      </c>
      <c r="F2" s="110" t="s">
        <v>21</v>
      </c>
      <c r="G2" s="110" t="s">
        <v>22</v>
      </c>
      <c r="H2" s="110" t="s">
        <v>14</v>
      </c>
      <c r="I2" s="110" t="s">
        <v>110</v>
      </c>
      <c r="J2" s="109" t="s">
        <v>111</v>
      </c>
      <c r="K2" s="109" t="s">
        <v>15</v>
      </c>
    </row>
    <row r="3" spans="1:12">
      <c r="A3" s="86">
        <v>1</v>
      </c>
      <c r="B3" s="126" t="s">
        <v>114</v>
      </c>
      <c r="C3" s="131" t="s">
        <v>60</v>
      </c>
      <c r="D3" s="132" t="s">
        <v>59</v>
      </c>
      <c r="E3" s="131" t="s">
        <v>16</v>
      </c>
      <c r="F3" s="130">
        <f>SUMIFS('COMPOSIÇÃO POR MURO'!$G$3:$G$59,'COMPOSIÇÃO POR MURO'!$C$3:$C$59,C3)</f>
        <v>255</v>
      </c>
      <c r="G3" s="133">
        <v>22.38</v>
      </c>
      <c r="H3" s="133">
        <f>ROUND(G3+(G3*$E$16),2)</f>
        <v>29.43</v>
      </c>
      <c r="I3" s="130">
        <f>2*100*2</f>
        <v>400</v>
      </c>
      <c r="J3" s="180">
        <f>F3/I3</f>
        <v>0.63749999999999996</v>
      </c>
      <c r="K3" s="87">
        <f>J3*H3</f>
        <v>18.761624999999999</v>
      </c>
      <c r="L3" s="43"/>
    </row>
    <row r="4" spans="1:12">
      <c r="A4" s="86">
        <v>2</v>
      </c>
      <c r="B4" s="126" t="s">
        <v>114</v>
      </c>
      <c r="C4" s="131" t="s">
        <v>73</v>
      </c>
      <c r="D4" s="132" t="s">
        <v>72</v>
      </c>
      <c r="E4" s="131" t="s">
        <v>16</v>
      </c>
      <c r="F4" s="130">
        <f>SUMIFS('COMPOSIÇÃO POR MURO'!$G$3:$G$59,'COMPOSIÇÃO POR MURO'!$C$3:$C$59,C4)</f>
        <v>357</v>
      </c>
      <c r="G4" s="133">
        <v>44.76</v>
      </c>
      <c r="H4" s="133">
        <f t="shared" ref="H4:H14" si="0">ROUND(G4+(G4*$E$16),2)</f>
        <v>58.85</v>
      </c>
      <c r="I4" s="130">
        <f>2*100*2</f>
        <v>400</v>
      </c>
      <c r="J4" s="180">
        <f t="shared" ref="J4:J14" si="1">F4/I4</f>
        <v>0.89249999999999996</v>
      </c>
      <c r="K4" s="87">
        <f t="shared" ref="K4:K14" si="2">J4*H4</f>
        <v>52.523624999999996</v>
      </c>
      <c r="L4" s="43"/>
    </row>
    <row r="5" spans="1:12">
      <c r="A5" s="86">
        <v>3</v>
      </c>
      <c r="B5" s="126" t="s">
        <v>114</v>
      </c>
      <c r="C5" s="131" t="s">
        <v>99</v>
      </c>
      <c r="D5" s="72" t="s">
        <v>100</v>
      </c>
      <c r="E5" s="131" t="s">
        <v>61</v>
      </c>
      <c r="F5" s="130">
        <f>SUMIFS('COMPOSIÇÃO POR MURO'!$G$3:$G$59,'COMPOSIÇÃO POR MURO'!$C$3:$C$59,C5)</f>
        <v>10886.259999999998</v>
      </c>
      <c r="G5" s="133">
        <v>12.21</v>
      </c>
      <c r="H5" s="133">
        <f t="shared" si="0"/>
        <v>16.05</v>
      </c>
      <c r="I5" s="130">
        <f>4*100</f>
        <v>400</v>
      </c>
      <c r="J5" s="180">
        <f t="shared" si="1"/>
        <v>27.215649999999997</v>
      </c>
      <c r="K5" s="87">
        <f t="shared" si="2"/>
        <v>436.81118249999997</v>
      </c>
      <c r="L5" s="43"/>
    </row>
    <row r="6" spans="1:12" ht="22.5">
      <c r="A6" s="86">
        <v>5</v>
      </c>
      <c r="B6" s="126" t="s">
        <v>114</v>
      </c>
      <c r="C6" s="131" t="s">
        <v>65</v>
      </c>
      <c r="D6" s="132" t="s">
        <v>64</v>
      </c>
      <c r="E6" s="131" t="s">
        <v>52</v>
      </c>
      <c r="F6" s="130">
        <f>SUMIFS('COMPOSIÇÃO POR MURO'!$G$3:$G$59,'COMPOSIÇÃO POR MURO'!$C$3:$C$59,C6)</f>
        <v>196.35</v>
      </c>
      <c r="G6" s="129">
        <v>454.55</v>
      </c>
      <c r="H6" s="133">
        <f t="shared" si="0"/>
        <v>597.64</v>
      </c>
      <c r="I6" s="130">
        <f t="shared" ref="I6:I14" si="3">4*100</f>
        <v>400</v>
      </c>
      <c r="J6" s="180">
        <f t="shared" si="1"/>
        <v>0.49087500000000001</v>
      </c>
      <c r="K6" s="87">
        <f t="shared" si="2"/>
        <v>293.366535</v>
      </c>
      <c r="L6" s="43"/>
    </row>
    <row r="7" spans="1:12" ht="22.5">
      <c r="A7" s="86">
        <v>6</v>
      </c>
      <c r="B7" s="126" t="s">
        <v>114</v>
      </c>
      <c r="C7" s="131" t="s">
        <v>62</v>
      </c>
      <c r="D7" s="132" t="s">
        <v>63</v>
      </c>
      <c r="E7" s="131" t="s">
        <v>52</v>
      </c>
      <c r="F7" s="130">
        <f>SUMIFS('COMPOSIÇÃO POR MURO'!$G$3:$G$59,'COMPOSIÇÃO POR MURO'!$C$3:$C$59,C7)</f>
        <v>16.830000000000002</v>
      </c>
      <c r="G7" s="129">
        <v>436.07</v>
      </c>
      <c r="H7" s="133">
        <f t="shared" si="0"/>
        <v>573.34</v>
      </c>
      <c r="I7" s="130">
        <f t="shared" si="3"/>
        <v>400</v>
      </c>
      <c r="J7" s="180">
        <f t="shared" si="1"/>
        <v>4.2075000000000001E-2</v>
      </c>
      <c r="K7" s="87">
        <f t="shared" si="2"/>
        <v>24.123280500000003</v>
      </c>
      <c r="L7" s="43"/>
    </row>
    <row r="8" spans="1:12">
      <c r="A8" s="86">
        <v>7</v>
      </c>
      <c r="B8" s="126" t="s">
        <v>114</v>
      </c>
      <c r="C8" s="131" t="s">
        <v>67</v>
      </c>
      <c r="D8" s="132" t="s">
        <v>66</v>
      </c>
      <c r="E8" s="131" t="s">
        <v>17</v>
      </c>
      <c r="F8" s="130">
        <f>SUMIFS('COMPOSIÇÃO POR MURO'!$G$3:$G$59,'COMPOSIÇÃO POR MURO'!$C$3:$C$59,C8)</f>
        <v>1621</v>
      </c>
      <c r="G8" s="129">
        <v>47.51</v>
      </c>
      <c r="H8" s="133">
        <f t="shared" si="0"/>
        <v>62.47</v>
      </c>
      <c r="I8" s="130">
        <f t="shared" si="3"/>
        <v>400</v>
      </c>
      <c r="J8" s="180">
        <f t="shared" si="1"/>
        <v>4.0525000000000002</v>
      </c>
      <c r="K8" s="87">
        <f t="shared" si="2"/>
        <v>253.15967500000002</v>
      </c>
      <c r="L8" s="43"/>
    </row>
    <row r="9" spans="1:12">
      <c r="A9" s="86">
        <v>8</v>
      </c>
      <c r="B9" s="126" t="s">
        <v>114</v>
      </c>
      <c r="C9" s="126" t="s">
        <v>80</v>
      </c>
      <c r="D9" s="127" t="s">
        <v>81</v>
      </c>
      <c r="E9" s="131" t="s">
        <v>52</v>
      </c>
      <c r="F9" s="130">
        <f>SUMIFS('COMPOSIÇÃO POR MURO'!$G$3:$G$59,'COMPOSIÇÃO POR MURO'!$C$3:$C$59,C9)</f>
        <v>103.53</v>
      </c>
      <c r="G9" s="133">
        <v>50.72</v>
      </c>
      <c r="H9" s="133">
        <f t="shared" si="0"/>
        <v>66.69</v>
      </c>
      <c r="I9" s="130">
        <f t="shared" si="3"/>
        <v>400</v>
      </c>
      <c r="J9" s="180">
        <f t="shared" si="1"/>
        <v>0.25882500000000003</v>
      </c>
      <c r="K9" s="87">
        <f t="shared" si="2"/>
        <v>17.26103925</v>
      </c>
      <c r="L9" s="43"/>
    </row>
    <row r="10" spans="1:12" ht="22.5">
      <c r="A10" s="86">
        <v>9</v>
      </c>
      <c r="B10" s="126" t="s">
        <v>114</v>
      </c>
      <c r="C10" s="131" t="s">
        <v>69</v>
      </c>
      <c r="D10" s="134" t="s">
        <v>68</v>
      </c>
      <c r="E10" s="131" t="s">
        <v>17</v>
      </c>
      <c r="F10" s="130">
        <f>SUMIFS('COMPOSIÇÃO POR MURO'!$G$3:$G$59,'COMPOSIÇÃO POR MURO'!$C$3:$C$59,C10)</f>
        <v>568</v>
      </c>
      <c r="G10" s="129">
        <v>54.57</v>
      </c>
      <c r="H10" s="133">
        <f t="shared" si="0"/>
        <v>71.75</v>
      </c>
      <c r="I10" s="130">
        <f t="shared" si="3"/>
        <v>400</v>
      </c>
      <c r="J10" s="180">
        <f t="shared" si="1"/>
        <v>1.42</v>
      </c>
      <c r="K10" s="87">
        <f t="shared" si="2"/>
        <v>101.88499999999999</v>
      </c>
      <c r="L10" s="43"/>
    </row>
    <row r="11" spans="1:12">
      <c r="A11" s="86">
        <v>10</v>
      </c>
      <c r="B11" s="131" t="s">
        <v>117</v>
      </c>
      <c r="C11" s="135">
        <v>102725</v>
      </c>
      <c r="D11" s="134" t="s">
        <v>70</v>
      </c>
      <c r="E11" s="131" t="s">
        <v>58</v>
      </c>
      <c r="F11" s="130">
        <f>SUMIFS('COMPOSIÇÃO POR MURO'!$G$3:$G$59,'COMPOSIÇÃO POR MURO'!$C$3:$C$59,C11)</f>
        <v>900</v>
      </c>
      <c r="G11" s="129">
        <v>24.51</v>
      </c>
      <c r="H11" s="133">
        <f t="shared" si="0"/>
        <v>32.229999999999997</v>
      </c>
      <c r="I11" s="130">
        <f t="shared" si="3"/>
        <v>400</v>
      </c>
      <c r="J11" s="180">
        <f t="shared" si="1"/>
        <v>2.25</v>
      </c>
      <c r="K11" s="87">
        <f t="shared" si="2"/>
        <v>72.517499999999998</v>
      </c>
      <c r="L11" s="43"/>
    </row>
    <row r="12" spans="1:12">
      <c r="A12" s="86">
        <v>11</v>
      </c>
      <c r="B12" s="126" t="s">
        <v>114</v>
      </c>
      <c r="C12" s="131" t="s">
        <v>82</v>
      </c>
      <c r="D12" s="134" t="s">
        <v>83</v>
      </c>
      <c r="E12" s="131" t="s">
        <v>17</v>
      </c>
      <c r="F12" s="130">
        <f>SUMIFS('COMPOSIÇÃO POR MURO'!$G$3:$G$59,'COMPOSIÇÃO POR MURO'!$C$3:$C$59,C12)</f>
        <v>1000</v>
      </c>
      <c r="G12" s="133">
        <v>7.71</v>
      </c>
      <c r="H12" s="133">
        <f t="shared" si="0"/>
        <v>10.14</v>
      </c>
      <c r="I12" s="130">
        <f t="shared" si="3"/>
        <v>400</v>
      </c>
      <c r="J12" s="180">
        <f t="shared" si="1"/>
        <v>2.5</v>
      </c>
      <c r="K12" s="87">
        <f t="shared" si="2"/>
        <v>25.35</v>
      </c>
      <c r="L12" s="43"/>
    </row>
    <row r="13" spans="1:12">
      <c r="A13" s="86">
        <v>12</v>
      </c>
      <c r="B13" s="126" t="s">
        <v>114</v>
      </c>
      <c r="C13" s="131" t="s">
        <v>85</v>
      </c>
      <c r="D13" s="134" t="s">
        <v>84</v>
      </c>
      <c r="E13" s="131" t="s">
        <v>52</v>
      </c>
      <c r="F13" s="130">
        <f>SUMIFS('COMPOSIÇÃO POR MURO'!$G$3:$G$59,'COMPOSIÇÃO POR MURO'!$C$3:$C$59,C13)</f>
        <v>300</v>
      </c>
      <c r="G13" s="133">
        <v>119.32</v>
      </c>
      <c r="H13" s="133">
        <f t="shared" si="0"/>
        <v>156.88</v>
      </c>
      <c r="I13" s="130">
        <f t="shared" si="3"/>
        <v>400</v>
      </c>
      <c r="J13" s="180">
        <f t="shared" si="1"/>
        <v>0.75</v>
      </c>
      <c r="K13" s="87">
        <f t="shared" si="2"/>
        <v>117.66</v>
      </c>
      <c r="L13" s="43"/>
    </row>
    <row r="14" spans="1:12">
      <c r="A14" s="86">
        <v>13</v>
      </c>
      <c r="B14" s="126" t="s">
        <v>114</v>
      </c>
      <c r="C14" s="131" t="s">
        <v>74</v>
      </c>
      <c r="D14" s="134" t="s">
        <v>75</v>
      </c>
      <c r="E14" s="131" t="s">
        <v>52</v>
      </c>
      <c r="F14" s="130">
        <f>SUMIFS('COMPOSIÇÃO POR MURO'!$G$3:$G$59,'COMPOSIÇÃO POR MURO'!$C$3:$C$59,C14)</f>
        <v>477</v>
      </c>
      <c r="G14" s="129">
        <v>50.72</v>
      </c>
      <c r="H14" s="133">
        <f t="shared" si="0"/>
        <v>66.69</v>
      </c>
      <c r="I14" s="98">
        <f t="shared" si="3"/>
        <v>400</v>
      </c>
      <c r="J14" s="180">
        <f t="shared" si="1"/>
        <v>1.1924999999999999</v>
      </c>
      <c r="K14" s="87">
        <f t="shared" si="2"/>
        <v>79.527824999999993</v>
      </c>
      <c r="L14" s="43"/>
    </row>
    <row r="15" spans="1:12">
      <c r="A15" s="86"/>
      <c r="B15" s="241"/>
      <c r="C15" s="242"/>
      <c r="D15" s="242"/>
      <c r="E15" s="242"/>
      <c r="F15" s="242"/>
      <c r="G15" s="243"/>
      <c r="H15" s="244" t="s">
        <v>112</v>
      </c>
      <c r="I15" s="245"/>
      <c r="J15" s="246"/>
      <c r="K15" s="88">
        <f>SUM(K3:K14)</f>
        <v>1492.9472872499998</v>
      </c>
    </row>
    <row r="16" spans="1:12" ht="15.75" thickBot="1">
      <c r="A16" s="80"/>
      <c r="B16" s="97"/>
      <c r="C16" s="96"/>
      <c r="D16" s="95" t="s">
        <v>79</v>
      </c>
      <c r="E16" s="94">
        <f>'ORÇAMENTARIA GERAL'!G9</f>
        <v>0.31480000000000002</v>
      </c>
      <c r="F16" s="93"/>
      <c r="G16" s="236" t="s">
        <v>78</v>
      </c>
      <c r="H16" s="237"/>
      <c r="I16" s="237"/>
      <c r="J16" s="238"/>
      <c r="K16" s="91">
        <f>K15*1000</f>
        <v>1492947.2872499998</v>
      </c>
    </row>
    <row r="17" spans="2:8">
      <c r="B17" s="23"/>
      <c r="C17" s="23"/>
      <c r="D17" s="23"/>
      <c r="E17" s="23"/>
      <c r="F17" s="23"/>
      <c r="G17" s="23"/>
      <c r="H17" s="124"/>
    </row>
    <row r="18" spans="2:8">
      <c r="B18" s="23"/>
      <c r="C18" s="23"/>
      <c r="D18" s="23"/>
      <c r="E18" s="23"/>
      <c r="F18" s="23"/>
      <c r="G18" s="23"/>
      <c r="H18" s="124"/>
    </row>
    <row r="19" spans="2:8">
      <c r="B19" s="23"/>
      <c r="C19" s="23"/>
      <c r="D19" s="23"/>
      <c r="E19" s="23"/>
      <c r="F19" s="23"/>
      <c r="G19" s="23"/>
      <c r="H19" s="124"/>
    </row>
    <row r="20" spans="2:8">
      <c r="B20" s="23"/>
      <c r="C20" s="23"/>
      <c r="D20" s="23"/>
      <c r="E20" s="23"/>
      <c r="F20" s="23"/>
      <c r="G20" s="124" t="s">
        <v>118</v>
      </c>
      <c r="H20" s="124"/>
    </row>
    <row r="21" spans="2:8">
      <c r="B21" s="23"/>
      <c r="C21" s="23"/>
      <c r="D21" s="23"/>
      <c r="E21" s="23"/>
      <c r="F21" s="23"/>
      <c r="G21" s="23"/>
      <c r="H21" s="124"/>
    </row>
    <row r="22" spans="2:8">
      <c r="B22" s="23"/>
      <c r="C22" s="23"/>
      <c r="D22" s="23"/>
      <c r="E22" s="23"/>
      <c r="F22" s="23"/>
      <c r="G22" s="23"/>
      <c r="H22" s="124"/>
    </row>
    <row r="23" spans="2:8">
      <c r="B23" s="23"/>
      <c r="C23" s="23"/>
      <c r="D23" s="23"/>
      <c r="E23" s="23"/>
      <c r="F23" s="23"/>
      <c r="G23" s="23"/>
      <c r="H23" s="124"/>
    </row>
    <row r="24" spans="2:8">
      <c r="B24" s="23"/>
      <c r="C24" s="23"/>
      <c r="D24" s="23"/>
      <c r="E24" s="23"/>
      <c r="F24" s="23"/>
      <c r="G24" s="23"/>
      <c r="H24" s="124"/>
    </row>
    <row r="25" spans="2:8">
      <c r="B25" s="23"/>
      <c r="C25" s="23"/>
      <c r="D25" s="23"/>
      <c r="E25" s="23"/>
      <c r="F25" s="23"/>
      <c r="G25" s="23"/>
      <c r="H25" s="124"/>
    </row>
  </sheetData>
  <sheetProtection selectLockedCells="1" selectUnlockedCells="1"/>
  <mergeCells count="4">
    <mergeCell ref="G16:J16"/>
    <mergeCell ref="B1:C1"/>
    <mergeCell ref="B15:G15"/>
    <mergeCell ref="H15:J15"/>
  </mergeCells>
  <conditionalFormatting sqref="J1:J14 I1:I2 K1:K15 B3:H14">
    <cfRule type="expression" dxfId="71" priority="101" stopIfTrue="1">
      <formula>AND(#REF!&lt;&gt;"COMPOSICAO",#REF!&lt;&gt;"INSUMO",#REF!&lt;&gt;"")</formula>
    </cfRule>
    <cfRule type="expression" dxfId="70" priority="102" stopIfTrue="1">
      <formula>AND(OR(#REF!="COMPOSICAO",#REF!="INSUMO",#REF!&lt;&gt;""),#REF!&lt;&gt;"")</formula>
    </cfRule>
  </conditionalFormatting>
  <conditionalFormatting sqref="J3:K14 B3:H14">
    <cfRule type="expression" dxfId="69" priority="99" stopIfTrue="1">
      <formula>AND(#REF!&lt;&gt;"COMPOSICAO",#REF!&lt;&gt;"INSUMO",#REF!&lt;&gt;"")</formula>
    </cfRule>
    <cfRule type="expression" dxfId="68" priority="100" stopIfTrue="1">
      <formula>AND(OR(#REF!="COMPOSICAO",#REF!="INSUMO",#REF!&lt;&gt;""),#REF!&lt;&gt;"")</formula>
    </cfRule>
  </conditionalFormatting>
  <conditionalFormatting sqref="J7:K7 J13:K14 J5:K5 E6 C8:E8 B8:B10 B7:H7 B5:H5 B13:H14">
    <cfRule type="expression" dxfId="67" priority="95" stopIfTrue="1">
      <formula>AND(#REF!&lt;&gt;"COMPOSICAO",#REF!&lt;&gt;"INSUMO",#REF!&lt;&gt;"")</formula>
    </cfRule>
    <cfRule type="expression" dxfId="66" priority="96" stopIfTrue="1">
      <formula>AND(OR(#REF!="COMPOSICAO",#REF!="INSUMO",#REF!&lt;&gt;""),#REF!&lt;&gt;"")</formula>
    </cfRule>
  </conditionalFormatting>
  <conditionalFormatting sqref="J3:K14">
    <cfRule type="expression" dxfId="65" priority="79" stopIfTrue="1">
      <formula>AND(#REF!&lt;&gt;"COMPOSICAO",#REF!&lt;&gt;"INSUMO",#REF!&lt;&gt;"")</formula>
    </cfRule>
    <cfRule type="expression" dxfId="64" priority="80" stopIfTrue="1">
      <formula>AND(OR(#REF!="COMPOSICAO",#REF!="INSUMO",#REF!&lt;&gt;""),#REF!&lt;&gt;"")</formula>
    </cfRule>
  </conditionalFormatting>
  <conditionalFormatting sqref="C3:D3 G3:H3 C9:D9 C5:D5 H4:H14">
    <cfRule type="expression" dxfId="63" priority="77" stopIfTrue="1">
      <formula>AND(#REF!&lt;&gt;"COMPOSICAO",#REF!&lt;&gt;"INSUMO",#REF!&lt;&gt;"")</formula>
    </cfRule>
    <cfRule type="expression" dxfId="62" priority="78" stopIfTrue="1">
      <formula>AND(OR(#REF!="COMPOSICAO",#REF!="INSUMO",#REF!&lt;&gt;""),#REF!&lt;&gt;"")</formula>
    </cfRule>
  </conditionalFormatting>
  <conditionalFormatting sqref="B3">
    <cfRule type="expression" dxfId="61" priority="61" stopIfTrue="1">
      <formula>AND(#REF!&lt;&gt;"COMPOSICAO",#REF!&lt;&gt;"INSUMO",#REF!&lt;&gt;"")</formula>
    </cfRule>
    <cfRule type="expression" dxfId="60" priority="62" stopIfTrue="1">
      <formula>AND(OR(#REF!="COMPOSICAO",#REF!="INSUMO",#REF!&lt;&gt;""),#REF!&lt;&gt;"")</formula>
    </cfRule>
  </conditionalFormatting>
  <conditionalFormatting sqref="B4">
    <cfRule type="expression" dxfId="59" priority="59" stopIfTrue="1">
      <formula>AND(#REF!&lt;&gt;"COMPOSICAO",#REF!&lt;&gt;"INSUMO",#REF!&lt;&gt;"")</formula>
    </cfRule>
    <cfRule type="expression" dxfId="58" priority="60" stopIfTrue="1">
      <formula>AND(OR(#REF!="COMPOSICAO",#REF!="INSUMO",#REF!&lt;&gt;""),#REF!&lt;&gt;"")</formula>
    </cfRule>
  </conditionalFormatting>
  <conditionalFormatting sqref="B5">
    <cfRule type="expression" dxfId="57" priority="57" stopIfTrue="1">
      <formula>AND(#REF!&lt;&gt;"COMPOSICAO",#REF!&lt;&gt;"INSUMO",#REF!&lt;&gt;"")</formula>
    </cfRule>
    <cfRule type="expression" dxfId="56" priority="58" stopIfTrue="1">
      <formula>AND(OR(#REF!="COMPOSICAO",#REF!="INSUMO",#REF!&lt;&gt;""),#REF!&lt;&gt;"")</formula>
    </cfRule>
  </conditionalFormatting>
  <conditionalFormatting sqref="B6">
    <cfRule type="expression" dxfId="55" priority="55" stopIfTrue="1">
      <formula>AND(#REF!&lt;&gt;"COMPOSICAO",#REF!&lt;&gt;"INSUMO",#REF!&lt;&gt;"")</formula>
    </cfRule>
    <cfRule type="expression" dxfId="54" priority="56" stopIfTrue="1">
      <formula>AND(OR(#REF!="COMPOSICAO",#REF!="INSUMO",#REF!&lt;&gt;""),#REF!&lt;&gt;"")</formula>
    </cfRule>
  </conditionalFormatting>
  <conditionalFormatting sqref="B7">
    <cfRule type="expression" dxfId="53" priority="53" stopIfTrue="1">
      <formula>AND(#REF!&lt;&gt;"COMPOSICAO",#REF!&lt;&gt;"INSUMO",#REF!&lt;&gt;"")</formula>
    </cfRule>
    <cfRule type="expression" dxfId="52" priority="54" stopIfTrue="1">
      <formula>AND(OR(#REF!="COMPOSICAO",#REF!="INSUMO",#REF!&lt;&gt;""),#REF!&lt;&gt;"")</formula>
    </cfRule>
  </conditionalFormatting>
  <conditionalFormatting sqref="B8">
    <cfRule type="expression" dxfId="51" priority="51" stopIfTrue="1">
      <formula>AND(#REF!&lt;&gt;"COMPOSICAO",#REF!&lt;&gt;"INSUMO",#REF!&lt;&gt;"")</formula>
    </cfRule>
    <cfRule type="expression" dxfId="50" priority="52" stopIfTrue="1">
      <formula>AND(OR(#REF!="COMPOSICAO",#REF!="INSUMO",#REF!&lt;&gt;""),#REF!&lt;&gt;"")</formula>
    </cfRule>
  </conditionalFormatting>
  <conditionalFormatting sqref="B9">
    <cfRule type="expression" dxfId="49" priority="49" stopIfTrue="1">
      <formula>AND(#REF!&lt;&gt;"COMPOSICAO",#REF!&lt;&gt;"INSUMO",#REF!&lt;&gt;"")</formula>
    </cfRule>
    <cfRule type="expression" dxfId="48" priority="50" stopIfTrue="1">
      <formula>AND(OR(#REF!="COMPOSICAO",#REF!="INSUMO",#REF!&lt;&gt;""),#REF!&lt;&gt;"")</formula>
    </cfRule>
  </conditionalFormatting>
  <conditionalFormatting sqref="B10">
    <cfRule type="expression" dxfId="47" priority="47" stopIfTrue="1">
      <formula>AND(#REF!&lt;&gt;"COMPOSICAO",#REF!&lt;&gt;"INSUMO",#REF!&lt;&gt;"")</formula>
    </cfRule>
    <cfRule type="expression" dxfId="46" priority="48" stopIfTrue="1">
      <formula>AND(OR(#REF!="COMPOSICAO",#REF!="INSUMO",#REF!&lt;&gt;""),#REF!&lt;&gt;"")</formula>
    </cfRule>
  </conditionalFormatting>
  <conditionalFormatting sqref="B12">
    <cfRule type="expression" dxfId="45" priority="45" stopIfTrue="1">
      <formula>AND(#REF!&lt;&gt;"COMPOSICAO",#REF!&lt;&gt;"INSUMO",#REF!&lt;&gt;"")</formula>
    </cfRule>
    <cfRule type="expression" dxfId="44" priority="46" stopIfTrue="1">
      <formula>AND(OR(#REF!="COMPOSICAO",#REF!="INSUMO",#REF!&lt;&gt;""),#REF!&lt;&gt;"")</formula>
    </cfRule>
  </conditionalFormatting>
  <conditionalFormatting sqref="B13">
    <cfRule type="expression" dxfId="43" priority="43" stopIfTrue="1">
      <formula>AND(#REF!&lt;&gt;"COMPOSICAO",#REF!&lt;&gt;"INSUMO",#REF!&lt;&gt;"")</formula>
    </cfRule>
    <cfRule type="expression" dxfId="42" priority="44" stopIfTrue="1">
      <formula>AND(OR(#REF!="COMPOSICAO",#REF!="INSUMO",#REF!&lt;&gt;""),#REF!&lt;&gt;"")</formula>
    </cfRule>
  </conditionalFormatting>
  <conditionalFormatting sqref="B14">
    <cfRule type="expression" dxfId="41" priority="41" stopIfTrue="1">
      <formula>AND(#REF!&lt;&gt;"COMPOSICAO",#REF!&lt;&gt;"INSUMO",#REF!&lt;&gt;"")</formula>
    </cfRule>
    <cfRule type="expression" dxfId="40" priority="42" stopIfTrue="1">
      <formula>AND(OR(#REF!="COMPOSICAO",#REF!="INSUMO",#REF!&lt;&gt;""),#REF!&lt;&gt;"")</formula>
    </cfRule>
  </conditionalFormatting>
  <conditionalFormatting sqref="G6">
    <cfRule type="expression" dxfId="39" priority="39" stopIfTrue="1">
      <formula>AND(#REF!&lt;&gt;"COMPOSICAO",#REF!&lt;&gt;"INSUMO",#REF!&lt;&gt;"")</formula>
    </cfRule>
    <cfRule type="expression" dxfId="38" priority="40" stopIfTrue="1">
      <formula>AND(OR(#REF!="COMPOSICAO",#REF!="INSUMO",#REF!&lt;&gt;""),#REF!&lt;&gt;"")</formula>
    </cfRule>
  </conditionalFormatting>
  <conditionalFormatting sqref="G6">
    <cfRule type="expression" dxfId="37" priority="37" stopIfTrue="1">
      <formula>AND(#REF!&lt;&gt;"COMPOSICAO",#REF!&lt;&gt;"INSUMO",#REF!&lt;&gt;"")</formula>
    </cfRule>
    <cfRule type="expression" dxfId="36" priority="38" stopIfTrue="1">
      <formula>AND(OR(#REF!="COMPOSICAO",#REF!="INSUMO",#REF!&lt;&gt;""),#REF!&lt;&gt;"")</formula>
    </cfRule>
  </conditionalFormatting>
  <conditionalFormatting sqref="G7">
    <cfRule type="expression" dxfId="35" priority="35" stopIfTrue="1">
      <formula>AND(#REF!&lt;&gt;"COMPOSICAO",#REF!&lt;&gt;"INSUMO",#REF!&lt;&gt;"")</formula>
    </cfRule>
    <cfRule type="expression" dxfId="34" priority="36" stopIfTrue="1">
      <formula>AND(OR(#REF!="COMPOSICAO",#REF!="INSUMO",#REF!&lt;&gt;""),#REF!&lt;&gt;"")</formula>
    </cfRule>
  </conditionalFormatting>
  <conditionalFormatting sqref="G7">
    <cfRule type="expression" dxfId="33" priority="33" stopIfTrue="1">
      <formula>AND(#REF!&lt;&gt;"COMPOSICAO",#REF!&lt;&gt;"INSUMO",#REF!&lt;&gt;"")</formula>
    </cfRule>
    <cfRule type="expression" dxfId="32" priority="34" stopIfTrue="1">
      <formula>AND(OR(#REF!="COMPOSICAO",#REF!="INSUMO",#REF!&lt;&gt;""),#REF!&lt;&gt;"")</formula>
    </cfRule>
  </conditionalFormatting>
  <conditionalFormatting sqref="G7">
    <cfRule type="expression" dxfId="31" priority="31" stopIfTrue="1">
      <formula>AND(#REF!&lt;&gt;"COMPOSICAO",#REF!&lt;&gt;"INSUMO",#REF!&lt;&gt;"")</formula>
    </cfRule>
    <cfRule type="expression" dxfId="30" priority="32" stopIfTrue="1">
      <formula>AND(OR(#REF!="COMPOSICAO",#REF!="INSUMO",#REF!&lt;&gt;""),#REF!&lt;&gt;"")</formula>
    </cfRule>
  </conditionalFormatting>
  <conditionalFormatting sqref="G8">
    <cfRule type="expression" dxfId="29" priority="29" stopIfTrue="1">
      <formula>AND(#REF!&lt;&gt;"COMPOSICAO",#REF!&lt;&gt;"INSUMO",#REF!&lt;&gt;"")</formula>
    </cfRule>
    <cfRule type="expression" dxfId="28" priority="30" stopIfTrue="1">
      <formula>AND(OR(#REF!="COMPOSICAO",#REF!="INSUMO",#REF!&lt;&gt;""),#REF!&lt;&gt;"")</formula>
    </cfRule>
  </conditionalFormatting>
  <conditionalFormatting sqref="G8">
    <cfRule type="expression" dxfId="27" priority="27" stopIfTrue="1">
      <formula>AND(#REF!&lt;&gt;"COMPOSICAO",#REF!&lt;&gt;"INSUMO",#REF!&lt;&gt;"")</formula>
    </cfRule>
    <cfRule type="expression" dxfId="26" priority="28" stopIfTrue="1">
      <formula>AND(OR(#REF!="COMPOSICAO",#REF!="INSUMO",#REF!&lt;&gt;""),#REF!&lt;&gt;"")</formula>
    </cfRule>
  </conditionalFormatting>
  <conditionalFormatting sqref="G9">
    <cfRule type="expression" dxfId="25" priority="25" stopIfTrue="1">
      <formula>AND(#REF!&lt;&gt;"COMPOSICAO",#REF!&lt;&gt;"INSUMO",#REF!&lt;&gt;"")</formula>
    </cfRule>
    <cfRule type="expression" dxfId="24" priority="26" stopIfTrue="1">
      <formula>AND(OR(#REF!="COMPOSICAO",#REF!="INSUMO",#REF!&lt;&gt;""),#REF!&lt;&gt;"")</formula>
    </cfRule>
  </conditionalFormatting>
  <conditionalFormatting sqref="G9">
    <cfRule type="expression" dxfId="23" priority="23" stopIfTrue="1">
      <formula>AND(#REF!&lt;&gt;"COMPOSICAO",#REF!&lt;&gt;"INSUMO",#REF!&lt;&gt;"")</formula>
    </cfRule>
    <cfRule type="expression" dxfId="22" priority="24" stopIfTrue="1">
      <formula>AND(OR(#REF!="COMPOSICAO",#REF!="INSUMO",#REF!&lt;&gt;""),#REF!&lt;&gt;"")</formula>
    </cfRule>
  </conditionalFormatting>
  <conditionalFormatting sqref="G9">
    <cfRule type="expression" dxfId="21" priority="21" stopIfTrue="1">
      <formula>AND(#REF!&lt;&gt;"COMPOSICAO",#REF!&lt;&gt;"INSUMO",#REF!&lt;&gt;"")</formula>
    </cfRule>
    <cfRule type="expression" dxfId="20" priority="22" stopIfTrue="1">
      <formula>AND(OR(#REF!="COMPOSICAO",#REF!="INSUMO",#REF!&lt;&gt;""),#REF!&lt;&gt;"")</formula>
    </cfRule>
  </conditionalFormatting>
  <conditionalFormatting sqref="G9">
    <cfRule type="expression" dxfId="19" priority="19" stopIfTrue="1">
      <formula>AND(#REF!&lt;&gt;"COMPOSICAO",#REF!&lt;&gt;"INSUMO",#REF!&lt;&gt;"")</formula>
    </cfRule>
    <cfRule type="expression" dxfId="18" priority="20" stopIfTrue="1">
      <formula>AND(OR(#REF!="COMPOSICAO",#REF!="INSUMO",#REF!&lt;&gt;""),#REF!&lt;&gt;"")</formula>
    </cfRule>
  </conditionalFormatting>
  <conditionalFormatting sqref="G10">
    <cfRule type="expression" dxfId="17" priority="17" stopIfTrue="1">
      <formula>AND(#REF!&lt;&gt;"COMPOSICAO",#REF!&lt;&gt;"INSUMO",#REF!&lt;&gt;"")</formula>
    </cfRule>
    <cfRule type="expression" dxfId="16" priority="18" stopIfTrue="1">
      <formula>AND(OR(#REF!="COMPOSICAO",#REF!="INSUMO",#REF!&lt;&gt;""),#REF!&lt;&gt;"")</formula>
    </cfRule>
  </conditionalFormatting>
  <conditionalFormatting sqref="G10">
    <cfRule type="expression" dxfId="15" priority="15" stopIfTrue="1">
      <formula>AND(#REF!&lt;&gt;"COMPOSICAO",#REF!&lt;&gt;"INSUMO",#REF!&lt;&gt;"")</formula>
    </cfRule>
    <cfRule type="expression" dxfId="14" priority="16" stopIfTrue="1">
      <formula>AND(OR(#REF!="COMPOSICAO",#REF!="INSUMO",#REF!&lt;&gt;""),#REF!&lt;&gt;"")</formula>
    </cfRule>
  </conditionalFormatting>
  <conditionalFormatting sqref="G11">
    <cfRule type="expression" dxfId="13" priority="13" stopIfTrue="1">
      <formula>AND(#REF!&lt;&gt;"COMPOSICAO",#REF!&lt;&gt;"INSUMO",#REF!&lt;&gt;"")</formula>
    </cfRule>
    <cfRule type="expression" dxfId="12" priority="14" stopIfTrue="1">
      <formula>AND(OR(#REF!="COMPOSICAO",#REF!="INSUMO",#REF!&lt;&gt;""),#REF!&lt;&gt;"")</formula>
    </cfRule>
  </conditionalFormatting>
  <conditionalFormatting sqref="G11">
    <cfRule type="expression" dxfId="11" priority="11" stopIfTrue="1">
      <formula>AND(#REF!&lt;&gt;"COMPOSICAO",#REF!&lt;&gt;"INSUMO",#REF!&lt;&gt;"")</formula>
    </cfRule>
    <cfRule type="expression" dxfId="10" priority="12" stopIfTrue="1">
      <formula>AND(OR(#REF!="COMPOSICAO",#REF!="INSUMO",#REF!&lt;&gt;""),#REF!&lt;&gt;"")</formula>
    </cfRule>
  </conditionalFormatting>
  <conditionalFormatting sqref="G11">
    <cfRule type="expression" dxfId="9" priority="9" stopIfTrue="1">
      <formula>AND(#REF!&lt;&gt;"COMPOSICAO",#REF!&lt;&gt;"INSUMO",#REF!&lt;&gt;"")</formula>
    </cfRule>
    <cfRule type="expression" dxfId="8" priority="10" stopIfTrue="1">
      <formula>AND(OR(#REF!="COMPOSICAO",#REF!="INSUMO",#REF!&lt;&gt;""),#REF!&lt;&gt;"")</formula>
    </cfRule>
  </conditionalFormatting>
  <conditionalFormatting sqref="G13">
    <cfRule type="expression" dxfId="7" priority="7" stopIfTrue="1">
      <formula>AND(#REF!&lt;&gt;"COMPOSICAO",#REF!&lt;&gt;"INSUMO",#REF!&lt;&gt;"")</formula>
    </cfRule>
    <cfRule type="expression" dxfId="6" priority="8" stopIfTrue="1">
      <formula>AND(OR(#REF!="COMPOSICAO",#REF!="INSUMO",#REF!&lt;&gt;""),#REF!&lt;&gt;"")</formula>
    </cfRule>
  </conditionalFormatting>
  <conditionalFormatting sqref="G13">
    <cfRule type="expression" dxfId="5" priority="5" stopIfTrue="1">
      <formula>AND(#REF!&lt;&gt;"COMPOSICAO",#REF!&lt;&gt;"INSUMO",#REF!&lt;&gt;"")</formula>
    </cfRule>
    <cfRule type="expression" dxfId="4" priority="6" stopIfTrue="1">
      <formula>AND(OR(#REF!="COMPOSICAO",#REF!="INSUMO",#REF!&lt;&gt;""),#REF!&lt;&gt;"")</formula>
    </cfRule>
  </conditionalFormatting>
  <conditionalFormatting sqref="G14">
    <cfRule type="expression" dxfId="3" priority="3" stopIfTrue="1">
      <formula>AND(#REF!&lt;&gt;"COMPOSICAO",#REF!&lt;&gt;"INSUMO",#REF!&lt;&gt;"")</formula>
    </cfRule>
    <cfRule type="expression" dxfId="2" priority="4" stopIfTrue="1">
      <formula>AND(OR(#REF!="COMPOSICAO",#REF!="INSUMO",#REF!&lt;&gt;""),#REF!&lt;&gt;"")</formula>
    </cfRule>
  </conditionalFormatting>
  <conditionalFormatting sqref="G14">
    <cfRule type="expression" dxfId="1" priority="1" stopIfTrue="1">
      <formula>AND(#REF!&lt;&gt;"COMPOSICAO",#REF!&lt;&gt;"INSUMO",#REF!&lt;&gt;"")</formula>
    </cfRule>
    <cfRule type="expression" dxfId="0" priority="2" stopIfTrue="1">
      <formula>AND(OR(#REF!="COMPOSICAO",#REF!="INSUMO",#REF!&lt;&gt;""),#REF!&lt;&gt;"")</formula>
    </cfRule>
  </conditionalFormatting>
  <printOptions horizontalCentered="1" verticalCentered="1"/>
  <pageMargins left="0.51181102362204722" right="0.51181102362204722" top="0.78740157480314965" bottom="0.78740157480314965" header="0.51181102362204722" footer="0.51181102362204722"/>
  <pageSetup paperSize="9" scale="60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J38"/>
  <sheetViews>
    <sheetView workbookViewId="0">
      <selection activeCell="O38" sqref="O38"/>
    </sheetView>
  </sheetViews>
  <sheetFormatPr defaultRowHeight="12.75"/>
  <cols>
    <col min="1" max="1" width="4.5703125" customWidth="1"/>
    <col min="2" max="2" width="12.7109375" customWidth="1"/>
  </cols>
  <sheetData>
    <row r="1" spans="2:10" ht="13.5" thickBot="1"/>
    <row r="2" spans="2:10" ht="18">
      <c r="B2" s="279" t="s">
        <v>24</v>
      </c>
      <c r="C2" s="280"/>
      <c r="D2" s="280"/>
      <c r="E2" s="280"/>
      <c r="F2" s="280"/>
      <c r="G2" s="280"/>
      <c r="H2" s="280"/>
      <c r="I2" s="280"/>
      <c r="J2" s="281"/>
    </row>
    <row r="3" spans="2:10">
      <c r="B3" s="140"/>
      <c r="C3" s="141"/>
      <c r="D3" s="141"/>
      <c r="E3" s="141"/>
      <c r="F3" s="141"/>
      <c r="G3" s="141"/>
      <c r="H3" s="141"/>
      <c r="I3" s="141"/>
      <c r="J3" s="142"/>
    </row>
    <row r="4" spans="2:10">
      <c r="B4" s="282" t="s">
        <v>102</v>
      </c>
      <c r="C4" s="283"/>
      <c r="D4" s="283"/>
      <c r="E4" s="283"/>
      <c r="F4" s="283"/>
      <c r="G4" s="283"/>
      <c r="H4" s="283"/>
      <c r="I4" s="283"/>
      <c r="J4" s="284"/>
    </row>
    <row r="5" spans="2:10">
      <c r="B5" s="282"/>
      <c r="C5" s="283"/>
      <c r="D5" s="283"/>
      <c r="E5" s="283"/>
      <c r="F5" s="283"/>
      <c r="G5" s="283"/>
      <c r="H5" s="283"/>
      <c r="I5" s="283"/>
      <c r="J5" s="284"/>
    </row>
    <row r="6" spans="2:10">
      <c r="B6" s="143" t="s">
        <v>25</v>
      </c>
      <c r="C6" s="144"/>
      <c r="D6" s="144"/>
      <c r="E6" s="144"/>
      <c r="F6" s="144"/>
      <c r="G6" s="144"/>
      <c r="H6" s="144"/>
      <c r="I6" s="144"/>
      <c r="J6" s="145"/>
    </row>
    <row r="7" spans="2:10">
      <c r="B7" s="285" t="s">
        <v>26</v>
      </c>
      <c r="C7" s="286"/>
      <c r="D7" s="286"/>
      <c r="E7" s="286"/>
      <c r="F7" s="286"/>
      <c r="G7" s="286"/>
      <c r="H7" s="286"/>
      <c r="I7" s="286"/>
      <c r="J7" s="287"/>
    </row>
    <row r="8" spans="2:10">
      <c r="B8" s="143" t="s">
        <v>103</v>
      </c>
      <c r="C8" s="144"/>
      <c r="D8" s="144"/>
      <c r="E8" s="144"/>
      <c r="F8" s="146"/>
      <c r="G8" s="146"/>
      <c r="H8" s="146"/>
      <c r="I8" s="146"/>
      <c r="J8" s="145"/>
    </row>
    <row r="9" spans="2:10">
      <c r="B9" s="285" t="s">
        <v>108</v>
      </c>
      <c r="C9" s="286"/>
      <c r="D9" s="286"/>
      <c r="E9" s="286"/>
      <c r="F9" s="286"/>
      <c r="G9" s="286"/>
      <c r="H9" s="286"/>
      <c r="I9" s="286"/>
      <c r="J9" s="287"/>
    </row>
    <row r="10" spans="2:10">
      <c r="B10" s="143" t="s">
        <v>27</v>
      </c>
      <c r="C10" s="147"/>
      <c r="D10" s="147"/>
      <c r="E10" s="147"/>
      <c r="F10" s="147"/>
      <c r="G10" s="147"/>
      <c r="H10" s="147"/>
      <c r="I10" s="147"/>
      <c r="J10" s="148" t="s">
        <v>28</v>
      </c>
    </row>
    <row r="11" spans="2:10">
      <c r="B11" s="149" t="s">
        <v>29</v>
      </c>
      <c r="C11" s="150"/>
      <c r="D11" s="150"/>
      <c r="E11" s="150"/>
      <c r="F11" s="150"/>
      <c r="G11" s="150"/>
      <c r="H11" s="150"/>
      <c r="I11" s="150"/>
      <c r="J11" s="151" t="s">
        <v>104</v>
      </c>
    </row>
    <row r="12" spans="2:10">
      <c r="B12" s="152"/>
      <c r="C12" s="147"/>
      <c r="D12" s="147"/>
      <c r="E12" s="147"/>
      <c r="F12" s="147"/>
      <c r="G12" s="147"/>
      <c r="H12" s="147"/>
      <c r="I12" s="147"/>
      <c r="J12" s="148"/>
    </row>
    <row r="13" spans="2:10">
      <c r="B13" s="288" t="s">
        <v>30</v>
      </c>
      <c r="C13" s="289"/>
      <c r="D13" s="289"/>
      <c r="E13" s="289"/>
      <c r="F13" s="289"/>
      <c r="G13" s="289"/>
      <c r="H13" s="289"/>
      <c r="I13" s="289"/>
      <c r="J13" s="290"/>
    </row>
    <row r="14" spans="2:10">
      <c r="B14" s="153" t="s">
        <v>31</v>
      </c>
      <c r="C14" s="276" t="s">
        <v>32</v>
      </c>
      <c r="D14" s="276"/>
      <c r="E14" s="276"/>
      <c r="F14" s="276"/>
      <c r="G14" s="276"/>
      <c r="H14" s="276"/>
      <c r="I14" s="277" t="s">
        <v>33</v>
      </c>
      <c r="J14" s="278"/>
    </row>
    <row r="15" spans="2:10">
      <c r="B15" s="154"/>
      <c r="C15" s="276"/>
      <c r="D15" s="276"/>
      <c r="E15" s="276"/>
      <c r="F15" s="276"/>
      <c r="G15" s="276"/>
      <c r="H15" s="276"/>
      <c r="I15" s="277"/>
      <c r="J15" s="278"/>
    </row>
    <row r="16" spans="2:10">
      <c r="B16" s="155" t="s">
        <v>34</v>
      </c>
      <c r="C16" s="156" t="s">
        <v>35</v>
      </c>
      <c r="D16" s="274">
        <v>0.03</v>
      </c>
      <c r="E16" s="274"/>
      <c r="F16" s="157" t="s">
        <v>36</v>
      </c>
      <c r="G16" s="275">
        <v>5.5E-2</v>
      </c>
      <c r="H16" s="275"/>
      <c r="I16" s="158" t="s">
        <v>34</v>
      </c>
      <c r="J16" s="159">
        <v>3.5000000000000003E-2</v>
      </c>
    </row>
    <row r="17" spans="2:10">
      <c r="B17" s="160" t="s">
        <v>37</v>
      </c>
      <c r="C17" s="161" t="s">
        <v>35</v>
      </c>
      <c r="D17" s="272">
        <v>8.0000000000000002E-3</v>
      </c>
      <c r="E17" s="272"/>
      <c r="F17" s="162" t="s">
        <v>36</v>
      </c>
      <c r="G17" s="273">
        <v>0.01</v>
      </c>
      <c r="H17" s="273"/>
      <c r="I17" s="163" t="s">
        <v>37</v>
      </c>
      <c r="J17" s="159">
        <v>8.9999999999999993E-3</v>
      </c>
    </row>
    <row r="18" spans="2:10">
      <c r="B18" s="160" t="s">
        <v>38</v>
      </c>
      <c r="C18" s="161" t="s">
        <v>35</v>
      </c>
      <c r="D18" s="272">
        <v>9.7000000000000003E-3</v>
      </c>
      <c r="E18" s="272"/>
      <c r="F18" s="162" t="s">
        <v>36</v>
      </c>
      <c r="G18" s="273">
        <v>1.2699999999999999E-2</v>
      </c>
      <c r="H18" s="273"/>
      <c r="I18" s="163" t="s">
        <v>38</v>
      </c>
      <c r="J18" s="159">
        <v>1.23E-2</v>
      </c>
    </row>
    <row r="19" spans="2:10">
      <c r="B19" s="160" t="s">
        <v>39</v>
      </c>
      <c r="C19" s="161" t="s">
        <v>35</v>
      </c>
      <c r="D19" s="272">
        <v>5.8999999999999999E-3</v>
      </c>
      <c r="E19" s="272"/>
      <c r="F19" s="162" t="s">
        <v>36</v>
      </c>
      <c r="G19" s="273">
        <v>1.3899999999999999E-2</v>
      </c>
      <c r="H19" s="273"/>
      <c r="I19" s="163" t="s">
        <v>39</v>
      </c>
      <c r="J19" s="159">
        <v>9.4999999999999998E-3</v>
      </c>
    </row>
    <row r="20" spans="2:10">
      <c r="B20" s="160" t="s">
        <v>40</v>
      </c>
      <c r="C20" s="161" t="s">
        <v>35</v>
      </c>
      <c r="D20" s="272">
        <v>6.1600000000000002E-2</v>
      </c>
      <c r="E20" s="272"/>
      <c r="F20" s="162" t="s">
        <v>36</v>
      </c>
      <c r="G20" s="273">
        <v>8.9599999999999999E-2</v>
      </c>
      <c r="H20" s="273"/>
      <c r="I20" s="163" t="s">
        <v>40</v>
      </c>
      <c r="J20" s="159">
        <v>7.0900000000000005E-2</v>
      </c>
    </row>
    <row r="21" spans="2:10">
      <c r="B21" s="164" t="s">
        <v>41</v>
      </c>
      <c r="C21" s="161" t="s">
        <v>35</v>
      </c>
      <c r="D21" s="272">
        <v>5.6500000000000002E-2</v>
      </c>
      <c r="E21" s="272"/>
      <c r="F21" s="162" t="s">
        <v>36</v>
      </c>
      <c r="G21" s="273">
        <v>8.6499999999999994E-2</v>
      </c>
      <c r="H21" s="273"/>
      <c r="I21" s="165" t="s">
        <v>41</v>
      </c>
      <c r="J21" s="159">
        <v>8.6499999999999994E-2</v>
      </c>
    </row>
    <row r="22" spans="2:10">
      <c r="B22" s="166" t="s">
        <v>42</v>
      </c>
      <c r="C22" s="167"/>
      <c r="D22" s="260">
        <v>0</v>
      </c>
      <c r="E22" s="260"/>
      <c r="F22" s="168" t="s">
        <v>43</v>
      </c>
      <c r="G22" s="261">
        <v>4.4999999999999998E-2</v>
      </c>
      <c r="H22" s="261"/>
      <c r="I22" s="169" t="s">
        <v>42</v>
      </c>
      <c r="J22" s="159">
        <v>4.4999999999999998E-2</v>
      </c>
    </row>
    <row r="23" spans="2:10">
      <c r="B23" s="262" t="s">
        <v>44</v>
      </c>
      <c r="C23" s="263"/>
      <c r="D23" s="263"/>
      <c r="E23" s="263"/>
      <c r="F23" s="263"/>
      <c r="G23" s="263"/>
      <c r="H23" s="263"/>
      <c r="I23" s="263"/>
      <c r="J23" s="264"/>
    </row>
    <row r="24" spans="2:10">
      <c r="B24" s="155" t="s">
        <v>34</v>
      </c>
      <c r="C24" s="265" t="s">
        <v>105</v>
      </c>
      <c r="D24" s="265"/>
      <c r="E24" s="265"/>
      <c r="F24" s="265"/>
      <c r="G24" s="265"/>
      <c r="H24" s="265"/>
      <c r="I24" s="265"/>
      <c r="J24" s="266"/>
    </row>
    <row r="25" spans="2:10">
      <c r="B25" s="160" t="s">
        <v>37</v>
      </c>
      <c r="C25" s="267" t="s">
        <v>105</v>
      </c>
      <c r="D25" s="267"/>
      <c r="E25" s="267"/>
      <c r="F25" s="267"/>
      <c r="G25" s="267"/>
      <c r="H25" s="267"/>
      <c r="I25" s="267"/>
      <c r="J25" s="268"/>
    </row>
    <row r="26" spans="2:10">
      <c r="B26" s="160" t="s">
        <v>38</v>
      </c>
      <c r="C26" s="267" t="s">
        <v>105</v>
      </c>
      <c r="D26" s="267"/>
      <c r="E26" s="267"/>
      <c r="F26" s="267"/>
      <c r="G26" s="267"/>
      <c r="H26" s="267"/>
      <c r="I26" s="267"/>
      <c r="J26" s="268"/>
    </row>
    <row r="27" spans="2:10">
      <c r="B27" s="160" t="s">
        <v>39</v>
      </c>
      <c r="C27" s="267" t="s">
        <v>105</v>
      </c>
      <c r="D27" s="267"/>
      <c r="E27" s="267"/>
      <c r="F27" s="267"/>
      <c r="G27" s="267"/>
      <c r="H27" s="267"/>
      <c r="I27" s="267"/>
      <c r="J27" s="268"/>
    </row>
    <row r="28" spans="2:10">
      <c r="B28" s="160" t="s">
        <v>40</v>
      </c>
      <c r="C28" s="267" t="s">
        <v>105</v>
      </c>
      <c r="D28" s="267"/>
      <c r="E28" s="267"/>
      <c r="F28" s="267"/>
      <c r="G28" s="267"/>
      <c r="H28" s="267"/>
      <c r="I28" s="267"/>
      <c r="J28" s="268"/>
    </row>
    <row r="29" spans="2:10">
      <c r="B29" s="164" t="s">
        <v>41</v>
      </c>
      <c r="C29" s="269" t="s">
        <v>105</v>
      </c>
      <c r="D29" s="269"/>
      <c r="E29" s="269"/>
      <c r="F29" s="269"/>
      <c r="G29" s="269"/>
      <c r="H29" s="269"/>
      <c r="I29" s="269"/>
      <c r="J29" s="270"/>
    </row>
    <row r="30" spans="2:10">
      <c r="B30" s="166" t="s">
        <v>42</v>
      </c>
      <c r="C30" s="269" t="s">
        <v>105</v>
      </c>
      <c r="D30" s="269"/>
      <c r="E30" s="269"/>
      <c r="F30" s="269"/>
      <c r="G30" s="269"/>
      <c r="H30" s="269"/>
      <c r="I30" s="269"/>
      <c r="J30" s="270"/>
    </row>
    <row r="31" spans="2:10">
      <c r="B31" s="170" t="s">
        <v>46</v>
      </c>
      <c r="C31" s="271" t="s">
        <v>106</v>
      </c>
      <c r="D31" s="271"/>
      <c r="E31" s="271"/>
      <c r="F31" s="271"/>
      <c r="G31" s="271"/>
      <c r="H31" s="271"/>
      <c r="I31" s="271"/>
      <c r="J31" s="171">
        <v>0.31480000000000002</v>
      </c>
    </row>
    <row r="32" spans="2:10">
      <c r="B32" s="152"/>
      <c r="C32" s="258" t="s">
        <v>45</v>
      </c>
      <c r="D32" s="258"/>
      <c r="E32" s="258"/>
      <c r="F32" s="258"/>
      <c r="G32" s="258"/>
      <c r="H32" s="258"/>
      <c r="I32" s="258"/>
      <c r="J32" s="259"/>
    </row>
    <row r="33" spans="2:10" ht="13.5" thickBot="1">
      <c r="B33" s="172"/>
      <c r="C33" s="247"/>
      <c r="D33" s="247"/>
      <c r="E33" s="247"/>
      <c r="F33" s="247"/>
      <c r="G33" s="247"/>
      <c r="H33" s="247"/>
      <c r="I33" s="247"/>
      <c r="J33" s="173"/>
    </row>
    <row r="34" spans="2:10">
      <c r="B34" s="248" t="s">
        <v>47</v>
      </c>
      <c r="C34" s="249"/>
      <c r="D34" s="249"/>
      <c r="E34" s="249"/>
      <c r="F34" s="249"/>
      <c r="G34" s="249"/>
      <c r="H34" s="249"/>
      <c r="I34" s="249"/>
      <c r="J34" s="250"/>
    </row>
    <row r="35" spans="2:10">
      <c r="B35" s="174" t="s">
        <v>107</v>
      </c>
      <c r="C35" s="251">
        <v>0.05</v>
      </c>
      <c r="D35" s="251"/>
      <c r="E35" s="251"/>
      <c r="F35" s="251"/>
      <c r="G35" s="251"/>
      <c r="H35" s="251"/>
      <c r="I35" s="251"/>
      <c r="J35" s="252"/>
    </row>
    <row r="36" spans="2:10" ht="18.75" customHeight="1" thickBot="1">
      <c r="B36" s="119" t="s">
        <v>48</v>
      </c>
      <c r="C36" s="253">
        <v>3.6499999999999998E-2</v>
      </c>
      <c r="D36" s="253"/>
      <c r="E36" s="253"/>
      <c r="F36" s="253"/>
      <c r="G36" s="253"/>
      <c r="H36" s="253"/>
      <c r="I36" s="253"/>
      <c r="J36" s="254"/>
    </row>
    <row r="37" spans="2:10" ht="13.5" thickBot="1">
      <c r="B37" s="172"/>
      <c r="C37" s="121"/>
      <c r="D37" s="121"/>
      <c r="E37" s="121"/>
      <c r="F37" s="121"/>
      <c r="G37" s="121"/>
      <c r="H37" s="121"/>
      <c r="I37" s="121"/>
      <c r="J37" s="173"/>
    </row>
    <row r="38" spans="2:10" ht="40.5" customHeight="1" thickBot="1">
      <c r="B38" s="255" t="s">
        <v>49</v>
      </c>
      <c r="C38" s="256"/>
      <c r="D38" s="256"/>
      <c r="E38" s="256"/>
      <c r="F38" s="256"/>
      <c r="G38" s="256"/>
      <c r="H38" s="256"/>
      <c r="I38" s="256"/>
      <c r="J38" s="257"/>
    </row>
  </sheetData>
  <mergeCells count="36">
    <mergeCell ref="C14:H15"/>
    <mergeCell ref="I14:J15"/>
    <mergeCell ref="B2:J2"/>
    <mergeCell ref="B4:J5"/>
    <mergeCell ref="B7:J7"/>
    <mergeCell ref="B9:J9"/>
    <mergeCell ref="B13:J13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C32:J32"/>
    <mergeCell ref="D22:E22"/>
    <mergeCell ref="G22:H22"/>
    <mergeCell ref="B23:J23"/>
    <mergeCell ref="C24:J24"/>
    <mergeCell ref="C25:J25"/>
    <mergeCell ref="C26:J26"/>
    <mergeCell ref="C27:J27"/>
    <mergeCell ref="C28:J28"/>
    <mergeCell ref="C29:J29"/>
    <mergeCell ref="C30:J30"/>
    <mergeCell ref="C31:I31"/>
    <mergeCell ref="C33:I33"/>
    <mergeCell ref="B34:J34"/>
    <mergeCell ref="C35:J35"/>
    <mergeCell ref="C36:J36"/>
    <mergeCell ref="B38:J38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Q15"/>
  <sheetViews>
    <sheetView workbookViewId="0">
      <selection activeCell="C17" sqref="C17"/>
    </sheetView>
  </sheetViews>
  <sheetFormatPr defaultRowHeight="12.75"/>
  <cols>
    <col min="3" max="3" width="36.42578125" customWidth="1"/>
    <col min="4" max="4" width="12.7109375" customWidth="1"/>
    <col min="5" max="5" width="12.28515625" bestFit="1" customWidth="1"/>
    <col min="6" max="6" width="10.140625" bestFit="1" customWidth="1"/>
    <col min="7" max="13" width="10.140625" customWidth="1"/>
    <col min="14" max="17" width="11.5703125" customWidth="1"/>
  </cols>
  <sheetData>
    <row r="1" spans="2:17" ht="13.5" thickBot="1"/>
    <row r="2" spans="2:17">
      <c r="B2" s="299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1"/>
    </row>
    <row r="3" spans="2:17" ht="23.25">
      <c r="B3" s="302" t="s">
        <v>121</v>
      </c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4"/>
    </row>
    <row r="4" spans="2:17" ht="20.25" customHeight="1">
      <c r="B4" s="305" t="s">
        <v>1</v>
      </c>
      <c r="C4" s="306"/>
      <c r="D4" s="306"/>
      <c r="E4" s="306"/>
      <c r="F4" s="306"/>
      <c r="G4" s="306"/>
      <c r="H4" s="306"/>
      <c r="I4" s="307" t="s">
        <v>141</v>
      </c>
      <c r="J4" s="307"/>
      <c r="K4" s="186" t="s">
        <v>6</v>
      </c>
      <c r="L4" s="187">
        <v>0.31480000000000002</v>
      </c>
      <c r="M4" s="306" t="s">
        <v>4</v>
      </c>
      <c r="N4" s="306"/>
      <c r="O4" s="306"/>
      <c r="P4" s="306"/>
      <c r="Q4" s="308"/>
    </row>
    <row r="5" spans="2:17" ht="20.25" customHeight="1">
      <c r="B5" s="305" t="s">
        <v>108</v>
      </c>
      <c r="C5" s="306"/>
      <c r="D5" s="306"/>
      <c r="E5" s="306"/>
      <c r="F5" s="306"/>
      <c r="G5" s="306"/>
      <c r="H5" s="306"/>
      <c r="I5" s="310" t="s">
        <v>142</v>
      </c>
      <c r="J5" s="310"/>
      <c r="K5" s="310"/>
      <c r="L5" s="310"/>
      <c r="M5" s="311" t="s">
        <v>5</v>
      </c>
      <c r="N5" s="311"/>
      <c r="O5" s="311" t="s">
        <v>122</v>
      </c>
      <c r="P5" s="311"/>
      <c r="Q5" s="308"/>
    </row>
    <row r="6" spans="2:17" ht="20.25" customHeight="1" thickBot="1">
      <c r="B6" s="313" t="s">
        <v>120</v>
      </c>
      <c r="C6" s="314"/>
      <c r="D6" s="314"/>
      <c r="E6" s="314"/>
      <c r="F6" s="314"/>
      <c r="G6" s="315" t="s">
        <v>7</v>
      </c>
      <c r="H6" s="315"/>
      <c r="I6" s="315"/>
      <c r="J6" s="315"/>
      <c r="K6" s="315"/>
      <c r="L6" s="315"/>
      <c r="M6" s="312"/>
      <c r="N6" s="312"/>
      <c r="O6" s="312"/>
      <c r="P6" s="312"/>
      <c r="Q6" s="309"/>
    </row>
    <row r="7" spans="2:17" ht="25.5">
      <c r="B7" s="188" t="s">
        <v>8</v>
      </c>
      <c r="C7" s="189" t="s">
        <v>123</v>
      </c>
      <c r="D7" s="190" t="s">
        <v>124</v>
      </c>
      <c r="E7" s="191" t="s">
        <v>125</v>
      </c>
      <c r="F7" s="189" t="s">
        <v>126</v>
      </c>
      <c r="G7" s="189" t="s">
        <v>127</v>
      </c>
      <c r="H7" s="192" t="s">
        <v>128</v>
      </c>
      <c r="I7" s="189" t="s">
        <v>129</v>
      </c>
      <c r="J7" s="189" t="s">
        <v>130</v>
      </c>
      <c r="K7" s="189" t="s">
        <v>131</v>
      </c>
      <c r="L7" s="189" t="s">
        <v>132</v>
      </c>
      <c r="M7" s="189" t="s">
        <v>133</v>
      </c>
      <c r="N7" s="189" t="s">
        <v>134</v>
      </c>
      <c r="O7" s="189" t="s">
        <v>135</v>
      </c>
      <c r="P7" s="189" t="s">
        <v>136</v>
      </c>
      <c r="Q7" s="193" t="s">
        <v>137</v>
      </c>
    </row>
    <row r="8" spans="2:17" ht="23.25" customHeight="1">
      <c r="B8" s="316">
        <v>1</v>
      </c>
      <c r="C8" s="317" t="s">
        <v>77</v>
      </c>
      <c r="D8" s="194">
        <f>D9/D11</f>
        <v>1</v>
      </c>
      <c r="E8" s="195">
        <f>SUM(F8:Q8)</f>
        <v>1</v>
      </c>
      <c r="F8" s="181">
        <v>8.3299999999999999E-2</v>
      </c>
      <c r="G8" s="181">
        <v>8.3299999999999999E-2</v>
      </c>
      <c r="H8" s="181">
        <v>8.3299999999999999E-2</v>
      </c>
      <c r="I8" s="181">
        <v>8.3299999999999999E-2</v>
      </c>
      <c r="J8" s="181">
        <v>8.3299999999999999E-2</v>
      </c>
      <c r="K8" s="181">
        <v>8.3299999999999999E-2</v>
      </c>
      <c r="L8" s="181">
        <v>8.3299999999999999E-2</v>
      </c>
      <c r="M8" s="181">
        <v>8.3299999999999999E-2</v>
      </c>
      <c r="N8" s="181">
        <v>8.3400000000000002E-2</v>
      </c>
      <c r="O8" s="181">
        <v>8.3400000000000002E-2</v>
      </c>
      <c r="P8" s="181">
        <v>8.3400000000000002E-2</v>
      </c>
      <c r="Q8" s="181">
        <v>8.3400000000000002E-2</v>
      </c>
    </row>
    <row r="9" spans="2:17" ht="23.25" customHeight="1">
      <c r="B9" s="316"/>
      <c r="C9" s="317"/>
      <c r="D9" s="196">
        <f>'ORÇAMENTARIA GERAL'!H26</f>
        <v>1492947.2872499998</v>
      </c>
      <c r="E9" s="182">
        <f>SUM(F9:Q9)</f>
        <v>1492947.2872500001</v>
      </c>
      <c r="F9" s="185">
        <f>F8*$D$9</f>
        <v>124362.50902792499</v>
      </c>
      <c r="G9" s="185">
        <f>G8*$D$9</f>
        <v>124362.50902792499</v>
      </c>
      <c r="H9" s="185">
        <f t="shared" ref="H9:Q9" si="0">H8*$D$9</f>
        <v>124362.50902792499</v>
      </c>
      <c r="I9" s="185">
        <f t="shared" si="0"/>
        <v>124362.50902792499</v>
      </c>
      <c r="J9" s="185">
        <f t="shared" si="0"/>
        <v>124362.50902792499</v>
      </c>
      <c r="K9" s="185">
        <f t="shared" si="0"/>
        <v>124362.50902792499</v>
      </c>
      <c r="L9" s="185">
        <f t="shared" si="0"/>
        <v>124362.50902792499</v>
      </c>
      <c r="M9" s="185">
        <f t="shared" si="0"/>
        <v>124362.50902792499</v>
      </c>
      <c r="N9" s="185">
        <f t="shared" si="0"/>
        <v>124511.80375664998</v>
      </c>
      <c r="O9" s="185">
        <f t="shared" si="0"/>
        <v>124511.80375664998</v>
      </c>
      <c r="P9" s="185">
        <f t="shared" si="0"/>
        <v>124511.80375664998</v>
      </c>
      <c r="Q9" s="185">
        <f t="shared" si="0"/>
        <v>124511.80375664998</v>
      </c>
    </row>
    <row r="10" spans="2:17">
      <c r="B10" s="292" t="s">
        <v>23</v>
      </c>
      <c r="C10" s="293"/>
      <c r="D10" s="197">
        <v>0.99999999999999989</v>
      </c>
      <c r="E10" s="198">
        <f>SUM(F10:Q10)</f>
        <v>1</v>
      </c>
      <c r="F10" s="195">
        <f>F11/$D$11</f>
        <v>8.3299999999999999E-2</v>
      </c>
      <c r="G10" s="195">
        <f t="shared" ref="G10:Q10" si="1">G11/$D$11</f>
        <v>8.3299999999999999E-2</v>
      </c>
      <c r="H10" s="195">
        <f t="shared" si="1"/>
        <v>8.3299999999999999E-2</v>
      </c>
      <c r="I10" s="195">
        <f t="shared" si="1"/>
        <v>8.3299999999999999E-2</v>
      </c>
      <c r="J10" s="195">
        <f t="shared" si="1"/>
        <v>8.3299999999999999E-2</v>
      </c>
      <c r="K10" s="195">
        <f t="shared" si="1"/>
        <v>8.3299999999999999E-2</v>
      </c>
      <c r="L10" s="195">
        <f t="shared" si="1"/>
        <v>8.3299999999999999E-2</v>
      </c>
      <c r="M10" s="195">
        <f t="shared" si="1"/>
        <v>8.3299999999999999E-2</v>
      </c>
      <c r="N10" s="195">
        <f t="shared" si="1"/>
        <v>8.3400000000000002E-2</v>
      </c>
      <c r="O10" s="195">
        <f t="shared" si="1"/>
        <v>8.3400000000000002E-2</v>
      </c>
      <c r="P10" s="195">
        <f t="shared" si="1"/>
        <v>8.3400000000000002E-2</v>
      </c>
      <c r="Q10" s="195">
        <f t="shared" si="1"/>
        <v>8.3400000000000002E-2</v>
      </c>
    </row>
    <row r="11" spans="2:17">
      <c r="B11" s="294"/>
      <c r="C11" s="295"/>
      <c r="D11" s="199">
        <f>'ORÇAMENTARIA GERAL'!H26</f>
        <v>1492947.2872499998</v>
      </c>
      <c r="E11" s="199">
        <f>SUM(F11:Q11)</f>
        <v>1492947.2872500001</v>
      </c>
      <c r="F11" s="200">
        <f>F9</f>
        <v>124362.50902792499</v>
      </c>
      <c r="G11" s="200">
        <f t="shared" ref="G11:Q11" si="2">G9</f>
        <v>124362.50902792499</v>
      </c>
      <c r="H11" s="200">
        <f t="shared" si="2"/>
        <v>124362.50902792499</v>
      </c>
      <c r="I11" s="200">
        <f t="shared" si="2"/>
        <v>124362.50902792499</v>
      </c>
      <c r="J11" s="200">
        <f t="shared" si="2"/>
        <v>124362.50902792499</v>
      </c>
      <c r="K11" s="200">
        <f t="shared" si="2"/>
        <v>124362.50902792499</v>
      </c>
      <c r="L11" s="200">
        <f t="shared" si="2"/>
        <v>124362.50902792499</v>
      </c>
      <c r="M11" s="200">
        <f t="shared" si="2"/>
        <v>124362.50902792499</v>
      </c>
      <c r="N11" s="200">
        <f t="shared" si="2"/>
        <v>124511.80375664998</v>
      </c>
      <c r="O11" s="200">
        <f t="shared" si="2"/>
        <v>124511.80375664998</v>
      </c>
      <c r="P11" s="200">
        <f t="shared" si="2"/>
        <v>124511.80375664998</v>
      </c>
      <c r="Q11" s="200">
        <f t="shared" si="2"/>
        <v>124511.80375664998</v>
      </c>
    </row>
    <row r="12" spans="2:17">
      <c r="B12" s="296" t="s">
        <v>138</v>
      </c>
      <c r="C12" s="297"/>
      <c r="D12" s="297"/>
      <c r="E12" s="297"/>
      <c r="F12" s="201">
        <f>F11</f>
        <v>124362.50902792499</v>
      </c>
      <c r="G12" s="201">
        <f>G11+F12</f>
        <v>248725.01805584997</v>
      </c>
      <c r="H12" s="201">
        <f t="shared" ref="H12:Q12" si="3">H11+G12</f>
        <v>373087.52708377497</v>
      </c>
      <c r="I12" s="201">
        <f t="shared" si="3"/>
        <v>497450.03611169994</v>
      </c>
      <c r="J12" s="201">
        <f t="shared" si="3"/>
        <v>621812.54513962497</v>
      </c>
      <c r="K12" s="201">
        <f t="shared" si="3"/>
        <v>746175.05416754994</v>
      </c>
      <c r="L12" s="201">
        <f t="shared" si="3"/>
        <v>870537.56319547491</v>
      </c>
      <c r="M12" s="201">
        <f t="shared" si="3"/>
        <v>994900.07222339988</v>
      </c>
      <c r="N12" s="201">
        <f t="shared" si="3"/>
        <v>1119411.8759800498</v>
      </c>
      <c r="O12" s="201">
        <f t="shared" si="3"/>
        <v>1243923.6797366999</v>
      </c>
      <c r="P12" s="201">
        <f t="shared" si="3"/>
        <v>1368435.48349335</v>
      </c>
      <c r="Q12" s="201">
        <f t="shared" si="3"/>
        <v>1492947.2872500001</v>
      </c>
    </row>
    <row r="13" spans="2:17">
      <c r="B13" s="202"/>
      <c r="C13" s="203"/>
      <c r="D13" s="203"/>
      <c r="E13" s="203"/>
      <c r="F13" s="204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184"/>
    </row>
    <row r="14" spans="2:17" ht="25.5" customHeight="1">
      <c r="B14" s="202"/>
      <c r="C14" s="298"/>
      <c r="D14" s="298"/>
      <c r="E14" s="298"/>
      <c r="F14" s="298"/>
      <c r="G14" s="298"/>
      <c r="H14" s="298" t="s">
        <v>139</v>
      </c>
      <c r="I14" s="298"/>
      <c r="J14" s="298"/>
      <c r="K14" s="298"/>
      <c r="L14" s="298"/>
      <c r="M14" s="298"/>
      <c r="N14" s="298"/>
      <c r="O14" s="203"/>
      <c r="P14" s="203"/>
      <c r="Q14" s="184"/>
    </row>
    <row r="15" spans="2:17" ht="25.5" customHeight="1" thickBot="1">
      <c r="B15" s="205"/>
      <c r="C15" s="291"/>
      <c r="D15" s="291"/>
      <c r="E15" s="291"/>
      <c r="F15" s="291"/>
      <c r="G15" s="291"/>
      <c r="H15" s="291" t="s">
        <v>140</v>
      </c>
      <c r="I15" s="291"/>
      <c r="J15" s="291"/>
      <c r="K15" s="291"/>
      <c r="L15" s="291"/>
      <c r="M15" s="291"/>
      <c r="N15" s="291"/>
      <c r="O15" s="206"/>
      <c r="P15" s="206"/>
      <c r="Q15" s="183"/>
    </row>
  </sheetData>
  <mergeCells count="20">
    <mergeCell ref="B8:B9"/>
    <mergeCell ref="C8:C9"/>
    <mergeCell ref="B2:Q2"/>
    <mergeCell ref="B3:Q3"/>
    <mergeCell ref="B4:H4"/>
    <mergeCell ref="I4:J4"/>
    <mergeCell ref="M4:P4"/>
    <mergeCell ref="Q4:Q6"/>
    <mergeCell ref="B5:H5"/>
    <mergeCell ref="I5:L5"/>
    <mergeCell ref="M5:N6"/>
    <mergeCell ref="O5:P6"/>
    <mergeCell ref="B6:F6"/>
    <mergeCell ref="G6:L6"/>
    <mergeCell ref="C15:G15"/>
    <mergeCell ref="H15:N15"/>
    <mergeCell ref="B10:C11"/>
    <mergeCell ref="B12:E12"/>
    <mergeCell ref="C14:G14"/>
    <mergeCell ref="H14:N14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ORÇAMENTARIA GERAL</vt:lpstr>
      <vt:lpstr>COMPOSIÇÃO POR MURO</vt:lpstr>
      <vt:lpstr>COMPOSIÇÃO POR ITEM</vt:lpstr>
      <vt:lpstr>COMPOSIÇÃO BDI-EDF</vt:lpstr>
      <vt:lpstr>CRONOGRAMA</vt:lpstr>
      <vt:lpstr>'COMPOSIÇÃO POR ITEM'!Area_de_impressao</vt:lpstr>
      <vt:lpstr>'COMPOSIÇÃO POR MURO'!Area_de_impressao</vt:lpstr>
      <vt:lpstr>CRONOGRAMA!Area_de_impressao</vt:lpstr>
      <vt:lpstr>'ORÇAMENTARIA GERAL'!Area_de_impressao</vt:lpstr>
      <vt:lpstr>'ORÇAMENTARIA GERAL'!Excel_BuiltIn__FilterDatabase</vt:lpstr>
      <vt:lpstr>'ORÇAMENTARIA GERAL'!Titulos_de_impressao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graceamaral</dc:creator>
  <cp:lastModifiedBy>graceamaral</cp:lastModifiedBy>
  <cp:revision>8</cp:revision>
  <cp:lastPrinted>2022-01-14T19:18:17Z</cp:lastPrinted>
  <dcterms:created xsi:type="dcterms:W3CDTF">2017-05-19T14:43:14Z</dcterms:created>
  <dcterms:modified xsi:type="dcterms:W3CDTF">2022-01-24T11:59:09Z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